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drawings/drawing5.xml" ContentType="application/vnd.openxmlformats-officedocument.drawing+xml"/>
  <Override PartName="/xl/customProperty9.bin" ContentType="application/vnd.openxmlformats-officedocument.spreadsheetml.customProperty"/>
  <Override PartName="/xl/drawings/drawing6.xml" ContentType="application/vnd.openxmlformats-officedocument.drawing+xml"/>
  <Override PartName="/xl/customProperty10.bin" ContentType="application/vnd.openxmlformats-officedocument.spreadsheetml.customProperty"/>
  <Override PartName="/xl/drawings/drawing7.xml" ContentType="application/vnd.openxmlformats-officedocument.drawing+xml"/>
  <Override PartName="/xl/customProperty11.bin" ContentType="application/vnd.openxmlformats-officedocument.spreadsheetml.customProperty"/>
  <Override PartName="/xl/drawings/drawing8.xml" ContentType="application/vnd.openxmlformats-officedocument.drawing+xml"/>
  <Override PartName="/xl/customProperty12.bin" ContentType="application/vnd.openxmlformats-officedocument.spreadsheetml.customProperty"/>
  <Override PartName="/xl/drawings/drawing9.xml" ContentType="application/vnd.openxmlformats-officedocument.drawing+xml"/>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ustomProperty16.bin" ContentType="application/vnd.openxmlformats-officedocument.spreadsheetml.customProperty"/>
  <Override PartName="/xl/drawings/drawing13.xml" ContentType="application/vnd.openxmlformats-officedocument.drawing+xml"/>
  <Override PartName="/xl/customProperty17.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nationalgridplc.sharepoint.com/sites/GRP-INT-UK-GT-FBP-GT-Reg-Finance/RIIO 2/12. RFPR/0.1 2021-22/04. Website Publication Versions/Revised/"/>
    </mc:Choice>
  </mc:AlternateContent>
  <xr:revisionPtr revIDLastSave="154" documentId="10_ncr:8000_{999DEBD3-F87F-4265-BC59-95268729CB5A}" xr6:coauthVersionLast="47" xr6:coauthVersionMax="47" xr10:uidLastSave="{DB61D8BB-9150-4B72-9D9B-A3BD4283ADC2}"/>
  <workbookProtection workbookAlgorithmName="SHA-512" workbookHashValue="04WFKsXv+UnKWRYFw0PjqP+Zh0PDiAfC33gkfaHnx7WSzBzp6UavC7tthWln6kyxaCV2Fj8w8QUmf5HrQacg8Q==" workbookSaltValue="30Lx81WSwkR04dFRy2N7kw==" workbookSpinCount="100000" lockStructure="1"/>
  <bookViews>
    <workbookView xWindow="-110" yWindow="-110" windowWidth="19420" windowHeight="10420" tabRatio="827" xr2:uid="{00000000-000D-0000-FFFF-FFFF00000000}"/>
  </bookViews>
  <sheets>
    <sheet name="RFPR cover" sheetId="13" r:id="rId1"/>
    <sheet name="Data" sheetId="28" r:id="rId2"/>
    <sheet name="Content &amp; Version Control" sheetId="21" r:id="rId3"/>
    <sheet name="Change log" sheetId="14" r:id="rId4"/>
    <sheet name="R1 - RoRE" sheetId="1" r:id="rId5"/>
    <sheet name="R2 - Rec to Revenue and Profit" sheetId="4" r:id="rId6"/>
    <sheet name="R3 - Totex - Reconciliation" sheetId="2" r:id="rId7"/>
    <sheet name="R4 - Incentives and Other Rev" sheetId="5" r:id="rId8"/>
    <sheet name="R5 - Financing" sheetId="17" r:id="rId9"/>
    <sheet name="R5a - Financing input" sheetId="30" state="hidden" r:id="rId10"/>
    <sheet name="R6 - Net Debt" sheetId="27" r:id="rId11"/>
    <sheet name="R6a - Net Debt input" sheetId="31" state="hidden" r:id="rId12"/>
    <sheet name="R7 - RAV" sheetId="10" r:id="rId13"/>
    <sheet name="R8 - Tax" sheetId="29" r:id="rId14"/>
    <sheet name="R8a - Tax Reconciliation" sheetId="35" state="hidden" r:id="rId15"/>
    <sheet name="R9 - Corporate Governance" sheetId="11" r:id="rId16"/>
    <sheet name="R10 - Pensions &amp; Oth Activities" sheetId="19" r:id="rId17"/>
  </sheets>
  <externalReferences>
    <externalReference r:id="rId18"/>
    <externalReference r:id="rId19"/>
    <externalReference r:id="rId20"/>
    <externalReference r:id="rId21"/>
    <externalReference r:id="rId22"/>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 hidden="1">'Change log'!$A$5:$C$5</definedName>
    <definedName name="_xlnm._FilterDatabase" localSheetId="14" hidden="1">'R8a - Tax Reconciliation'!$A$9:$N$100</definedName>
    <definedName name="_Order2" hidden="1">0</definedName>
    <definedName name="Adjusted_regulated_tax_liability">'R8 - Tax'!$E$34:$I$34</definedName>
    <definedName name="Adjusted_regulated_tax_liability__Reporting_Year">'R8 - Tax'!$E$34:$I$34</definedName>
    <definedName name="ARCMt">'[1]R4 Licence Condition Values'!$G$32:$N$32</definedName>
    <definedName name="ARtDR5" comment="Allowed distribution netwrok reveue in 2014/15">'[1]R5 Input Page'!$E$48:$F$48</definedName>
    <definedName name="AUM">'[1]R5 Input Page'!$G$133:$N$133</definedName>
    <definedName name="BMt_2">'[1]R5 Input Page'!$E$65:$F$65</definedName>
    <definedName name="BPC">'[1]R5 Input Page'!$G$123:$N$123</definedName>
    <definedName name="Business_Plan_Incentive" localSheetId="14">'[2]R1 - RoRE'!$D$60:$H$60</definedName>
    <definedName name="Business_Plan_Incentive">'R1 - RoRE'!$D$67:$H$67</definedName>
    <definedName name="calendar_year" localSheetId="14">[2]Data!$E$25:$L$25</definedName>
    <definedName name="calendar_year">Data!$E$25:$L$25</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M">'[1]R5 Input Page'!$G$71:$N$71</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ombined_real_to_nominal_prices_conversion_factor__financial_year_end">Data!$E$28:$K$28</definedName>
    <definedName name="Corporate_Tax" localSheetId="14">[2]Data!$C$18:$N$18</definedName>
    <definedName name="Corporate_Tax">Data!$C$18:$N$18</definedName>
    <definedName name="Cost_of_Equity" localSheetId="14">[2]Data!$C$6</definedName>
    <definedName name="Cost_of_Equity">Data!$C$6</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ADt">'[1]R4 Licence Condition Values'!$G$25:$N$25</definedName>
    <definedName name="CSAUt">'[1]R4 Licence Condition Values'!$G$19:$N$19</definedName>
    <definedName name="CSBDt">'[1]R4 Licence Condition Values'!$G$28:$N$28</definedName>
    <definedName name="CSBUt">'[1]R4 Licence Condition Values'!$G$21:$N$21</definedName>
    <definedName name="CSCDt">'[1]R4 Licence Condition Values'!$G$30:$N$30</definedName>
    <definedName name="CSCUt">'[1]R4 Licence Condition Values'!$G$23:$N$23</definedName>
    <definedName name="CT">'[1]R5 Input Page'!$G$35:$N$35</definedName>
    <definedName name="Debt_performance___at_notional_gearing" localSheetId="14">'[2]R1 - RoRE'!$D$74:$H$74</definedName>
    <definedName name="Debt_performance___at_notional_gearing">'R1 - RoRE'!$D$84:$H$84</definedName>
    <definedName name="Debt_performance___impact_of_actual_gearing" localSheetId="14">'[2]R1 - RoRE'!$D$75:$H$75</definedName>
    <definedName name="Debt_performance___impact_of_actual_gearing">'R1 - RoRE'!$D$85:$H$85</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quity_RAV_based_on_actual_gearing" localSheetId="14">'[2]R1 - RoRE'!$D$81:$H$81</definedName>
    <definedName name="Equity_RAV_based_on_actual_gearing">'R1 - RoRE'!$D$91:$H$91</definedName>
    <definedName name="Equity_Return_on_the_RAV" localSheetId="14">'[2]R1 - RoRE'!$D$58:$H$58</definedName>
    <definedName name="Equity_Return_on_the_RAV">'R1 - RoRE'!$D$65:$H$65</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ICEO">'[1]R5 Input Page'!$G$106:$N$106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1t">'[1]R5 Input Page'!$G$129:$N$129</definedName>
    <definedName name="LCN2t">'[1]R5 Input Page'!$G$128:$N$128</definedName>
    <definedName name="LDRO">'[1]R5 Input Page'!$G$119:$N$119</definedName>
    <definedName name="LF">'[1]R8 Pass-Through Items'!$G$26:$N$26</definedName>
    <definedName name="LFA">'[1]R5 Input Page'!$G$53:$N$53</definedName>
    <definedName name="LFE">'[1]R4 Licence Condition Values'!$G$10:$N$10</definedName>
    <definedName name="Licensee">'RFPR cover'!$C$7</definedName>
    <definedName name="LookupK">'[1]R13 Correction Factor'!$B$80:$H$93</definedName>
    <definedName name="LookupPPLD">'[1]R12 DPCR4 Losses and Growth'!$D$38:$N$51</definedName>
    <definedName name="materiality_threshold" localSheetId="14">[2]Data!$F$7</definedName>
    <definedName name="materiality_threshold">Data!$F$7</definedName>
    <definedName name="MOD">'[1]R5 Input Page'!$G$44:$N$44</definedName>
    <definedName name="N_A">'R8 - Tax'!$E$11:$H$11</definedName>
    <definedName name="Navigate">'RFPR cover'!$D$2</definedName>
    <definedName name="NCPD">'[1]R5 Input Page'!$G$102:$N$102</definedName>
    <definedName name="NCPM">'[1]R5 Input Page'!$G$101:$N$101</definedName>
    <definedName name="NIAR">'[1]R5 Input Page'!$G$124:$N$124</definedName>
    <definedName name="NIAV">'[1]R4 Licence Condition Values'!$F$56</definedName>
    <definedName name="Notional_Gearing" localSheetId="14">[2]Data!$C$8</definedName>
    <definedName name="Notional_Gearing">Data!$C$8</definedName>
    <definedName name="NPV_neutral_equity_element_of_RAV" localSheetId="14">'[2]R1 - RoRE'!$D$80:$H$80</definedName>
    <definedName name="NPV_neutral_equity_element_of_RAV">'R1 - RoRE'!$D$90:$H$90</definedName>
    <definedName name="ODI_1" localSheetId="14">'[2]R1 - RoRE'!$D$61:$H$61</definedName>
    <definedName name="ODI_1">'R1 - RoRE'!$D$68:$H$68</definedName>
    <definedName name="ODI_2" localSheetId="14">'[2]R1 - RoRE'!$D$62:$H$62</definedName>
    <definedName name="ODI_2">'R1 - RoRE'!$D$69:$H$69</definedName>
    <definedName name="ODI_3" localSheetId="14">'[2]R1 - RoRE'!$D$63:$H$63</definedName>
    <definedName name="ODI_3">'R1 - RoRE'!$D$70:$H$70</definedName>
    <definedName name="ODI_4" localSheetId="14">'[2]R1 - RoRE'!$D$64:$H$64</definedName>
    <definedName name="ODI_4">'R1 - RoRE'!$D$71:$H$71</definedName>
    <definedName name="ODI_5" localSheetId="14">'[2]R1 - RoRE'!$D$65:$H$65</definedName>
    <definedName name="ODI_5">'R1 - RoRE'!$D$72:$H$72</definedName>
    <definedName name="ODI_6" localSheetId="14">'[2]R1 - RoRE'!$D$66:$H$66</definedName>
    <definedName name="ODI_6">'R1 - RoRE'!$D$73:$H$73</definedName>
    <definedName name="OOEE">'[1]R5 Input Page'!$G$103:$N$103</definedName>
    <definedName name="ORA_1" localSheetId="14">'[2]R1 - RoRE'!$D$67:$H$67</definedName>
    <definedName name="ORA_1">'R1 - RoRE'!$D$74:$H$74</definedName>
    <definedName name="ORA_2" localSheetId="14">'[2]R1 - RoRE'!$D$68:$H$68</definedName>
    <definedName name="ORA_2">'R1 - RoRE'!$D$75:$H$75</definedName>
    <definedName name="ORA_3" localSheetId="14">'[2]R1 - RoRE'!$D$69:$H$69</definedName>
    <definedName name="ORA_3">'R1 - RoRE'!$D$76:$H$76</definedName>
    <definedName name="ORA_4" localSheetId="14">'[2]R1 - RoRE'!$D$70:$H$70</definedName>
    <definedName name="ORA_4">'R1 - RoRE'!$D$77:$H$77</definedName>
    <definedName name="ORA_5" localSheetId="14">'[2]R1 - RoRE'!$D$71:$H$71</definedName>
    <definedName name="ORA_5">'R1 - RoRE'!$D$78:$H$78</definedName>
    <definedName name="ORA_6">'R1 - RoRE'!$D$79:$H$79</definedName>
    <definedName name="ORA_7">'R1 - RoRE'!$D$80:$H$80</definedName>
    <definedName name="ORA_8">'R1 - RoRE'!$D$81:$H$81</definedName>
    <definedName name="PCUDPO">'[1]R5 Input Page'!$G$74:$N$74</definedName>
    <definedName name="PCUDPT">'[1]R5 Input Page'!$G$75:$N$75</definedName>
    <definedName name="Penalties_and_fines" localSheetId="14">'[2]R1 - RoRE'!$D$72:$H$72</definedName>
    <definedName name="Penalties_and_fines">'R1 - RoRE'!$D$82:$H$82</definedName>
    <definedName name="POF">'[1]R5 Input Page'!$G$77:$N$77</definedName>
    <definedName name="PPL">'[1]R12 DPCR4 Losses and Growth'!$G$34:$N$34</definedName>
    <definedName name="PRC">'[1]R5 Input Page'!$G$76:$N$76</definedName>
    <definedName name="Price_basis">Data!$C$9</definedName>
    <definedName name="_xlnm.Print_Area" localSheetId="3">'Change log'!$A$1:$D$59</definedName>
    <definedName name="_xlnm.Print_Area" localSheetId="2">'Content &amp; Version Control'!$A$1:$H$19</definedName>
    <definedName name="_xlnm.Print_Area" localSheetId="4">'R1 - RoRE'!$A$1:$L$64</definedName>
    <definedName name="_xlnm.Print_Area" localSheetId="16">'R10 - Pensions &amp; Oth Activities'!$A$1:$H$44</definedName>
    <definedName name="_xlnm.Print_Area" localSheetId="5">'R2 - Rec to Revenue and Profit'!$A$1:$J$62</definedName>
    <definedName name="_xlnm.Print_Area" localSheetId="6">'R3 - Totex - Reconciliation'!$A$1:$J$101</definedName>
    <definedName name="_xlnm.Print_Area" localSheetId="7">'R4 - Incentives and Other Rev'!$A$1:$I$32</definedName>
    <definedName name="_xlnm.Print_Area" localSheetId="8">'R5 - Financing'!$A$1:$I$83</definedName>
    <definedName name="_xlnm.Print_Area" localSheetId="9">'R5a - Financing input'!$A$4:$AK$687</definedName>
    <definedName name="_xlnm.Print_Area" localSheetId="10">'R6 - Net Debt'!$A$1:$I$53</definedName>
    <definedName name="_xlnm.Print_Area" localSheetId="11">'R6a - Net Debt input'!$A$4:$AI$438</definedName>
    <definedName name="_xlnm.Print_Area" localSheetId="12">'R7 - RAV'!$A$1:$J$38</definedName>
    <definedName name="_xlnm.Print_Area" localSheetId="13">'R8 - Tax'!$A$1:$J$42</definedName>
    <definedName name="_xlnm.Print_Area" localSheetId="14">'R8a - Tax Reconciliation'!$A$1:$M$100</definedName>
    <definedName name="_xlnm.Print_Area" localSheetId="15">'R9 - Corporate Governance'!$A$1:$I$19</definedName>
    <definedName name="_xlnm.Print_Area" localSheetId="0">'RFPR cover'!$A$2:$K$82</definedName>
    <definedName name="_xlnm.Print_Titles" localSheetId="9">'R5a - Financing input'!$4:$9</definedName>
    <definedName name="_xlnm.Print_Titles" localSheetId="11">'R6a - Net Debt input'!$4:$9</definedName>
    <definedName name="_xlnm.Print_Titles" localSheetId="14">'R8a - Tax Reconciliation'!$8:$9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RB">'[1]R8 Pass-Through Items'!$G$36:$N$36</definedName>
    <definedName name="RBA">'[1]R5 Input Page'!$G$54:$N$54</definedName>
    <definedName name="RBE">'[1]R4 Licence Condition Values'!$G$11:$N$11</definedName>
    <definedName name="RD">'[1]R5 Input Page'!$F$47:$N$47</definedName>
    <definedName name="real_to_nominal_CF" localSheetId="14">[2]Data!$E$26:$L$26</definedName>
    <definedName name="real_to_nominal_CF">Data!$E$26:$L$26</definedName>
    <definedName name="Reporting_Year">'RFPR cover'!$C$9</definedName>
    <definedName name="reporting_yearCov">'RFPR cover'!$C$9</definedName>
    <definedName name="RF">'[1]R8 Pass-Through Items'!$G$77:$N$77</definedName>
    <definedName name="RFA">'[1]R5 Input Page'!$G$59:$N$59</definedName>
    <definedName name="RFE">'[1]R4 Licence Condition Values'!$G$15:$N$15</definedName>
    <definedName name="RIIO_2_start_date" localSheetId="14">[2]Data!$C$9</definedName>
    <definedName name="RIIO_2_start_date">'RFPR cover'!$C$6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oRE___including_financing_and_tax">'R1 - RoRE'!$D$88:$H$88</definedName>
    <definedName name="RoRE___Operational_performance">'R1 - RoRE'!$D$83:$H$83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ector">'RFPR cover'!$C$8</definedName>
    <definedName name="SectorCov" localSheetId="14">'[2]RFPR cover'!$C$6</definedName>
    <definedName name="SectorCov">'RFPR cover'!$C$8</definedName>
    <definedName name="Sharing_Factor">Data!$C$7</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[4]!Features_table[[#All],[Column1]]</definedName>
    <definedName name="Statutory_Tax_Reporting_Year" localSheetId="14">'R8a - Tax Reconciliation'!#REF!</definedName>
    <definedName name="Statutory_Tax_Reporting_Year">#REF!</definedName>
    <definedName name="Submitted_Date">'RFPR cover'!$C$11</definedName>
    <definedName name="SWPD">'[1]R5 Input Page'!$G$99:$N$99</definedName>
    <definedName name="SWPM">'[1]R5 Input Page'!$G$98:$N$98</definedName>
    <definedName name="TAUt">'[1]R4 Licence Condition Values'!$G$36:$N$36</definedName>
    <definedName name="Tax_liability_per_latest_statutory_accounts___Historical">'R8 - Tax'!#REF!</definedName>
    <definedName name="Tax_liability_per_latest_submitted_CT600____Historical">'R8 - Tax'!#REF!</definedName>
    <definedName name="Tax_liability_per_latest_submitted_CT600____Reporting_Year">'R8 - Tax'!$E$11:$I$11</definedName>
    <definedName name="Tax_performance___at_notional_gearing" localSheetId="14">'[2]R1 - RoRE'!$D$76:$H$76</definedName>
    <definedName name="Tax_performance___at_notional_gearing">'R1 - RoRE'!$D$86:$H$86</definedName>
    <definedName name="Tax_performance___impact_of_actual_gearing" localSheetId="14">'[2]R1 - RoRE'!$D$77:$H$77</definedName>
    <definedName name="Tax_performance___impact_of_actual_gearing">'R1 - RoRE'!$D$87:$H$87</definedName>
    <definedName name="TB">'[1]R8 Pass-Through Items'!$G$46:$N$46</definedName>
    <definedName name="TBUt">'[1]R4 Licence Condition Values'!$G$39:$N$39</definedName>
    <definedName name="TCAIt">'[1]R4 Licence Condition Values'!$G$51:$N$51</definedName>
    <definedName name="TCAP">'[1]R5 Input Page'!$G$113:$N$113</definedName>
    <definedName name="TCAREt">'[1]R4 Licence Condition Values'!$G$50:$N$50</definedName>
    <definedName name="TCAT">'[1]R5 Input Page'!$G$114:$N$114</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otex_outperformance" localSheetId="14">'[2]R1 - RoRE'!$D$59:$H$59</definedName>
    <definedName name="Totex_outperformance">'R1 - RoRE'!$D$66:$H$66</definedName>
    <definedName name="TQAIt">'[1]R4 Licence Condition Values'!$G$47:$N$47</definedName>
    <definedName name="TQAP">'[1]R5 Input Page'!$G$109:$N$109</definedName>
    <definedName name="TQAREt">'[1]R4 Licence Condition Values'!$G$46:$N$46</definedName>
    <definedName name="TQAT">'[1]R5 Input Page'!$G$110:$N$110</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UCPIR">'[1]R4 Licence Condition Values'!$G$27:$N$27</definedName>
    <definedName name="UNC">'[1]R5 Input Page'!$G$61:$N$61</definedName>
    <definedName name="Version__Number">'RFPR cover'!$C$10</definedName>
    <definedName name="Year">'[5]Pension Pack cover'!$B$80:$B$99</definedName>
    <definedName name="YEFactor">Data!$E$28:$L$28</definedName>
    <definedName name="YEFactor_change" localSheetId="14">[2]Data!$E$27:$L$27</definedName>
    <definedName name="YEFactor_change">Data!$E$27:$L$27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6" i="29" l="1"/>
  <c r="G66" i="29"/>
  <c r="H66" i="29"/>
  <c r="I66" i="29"/>
  <c r="E66" i="29"/>
  <c r="F64" i="29"/>
  <c r="G64" i="29"/>
  <c r="H64" i="29"/>
  <c r="I64" i="29"/>
  <c r="E64" i="29"/>
  <c r="D505" i="30"/>
  <c r="F505" i="30"/>
  <c r="G505" i="30"/>
  <c r="H505" i="30"/>
  <c r="I505" i="30"/>
  <c r="D506" i="30"/>
  <c r="F506" i="30"/>
  <c r="G506" i="30"/>
  <c r="H506" i="30"/>
  <c r="I506" i="30"/>
  <c r="D507" i="30"/>
  <c r="F507" i="30"/>
  <c r="G507" i="30"/>
  <c r="H507" i="30"/>
  <c r="I507" i="30"/>
  <c r="D508" i="30"/>
  <c r="F508" i="30"/>
  <c r="G508" i="30"/>
  <c r="H508" i="30"/>
  <c r="I508" i="30"/>
  <c r="D509" i="30"/>
  <c r="F509" i="30"/>
  <c r="G509" i="30"/>
  <c r="H509" i="30"/>
  <c r="I509" i="30"/>
  <c r="D510" i="30"/>
  <c r="F510" i="30"/>
  <c r="G510" i="30"/>
  <c r="H510" i="30"/>
  <c r="I510" i="30"/>
  <c r="D511" i="30"/>
  <c r="F511" i="30"/>
  <c r="G511" i="30"/>
  <c r="H511" i="30"/>
  <c r="I511" i="30"/>
  <c r="D512" i="30"/>
  <c r="F512" i="30"/>
  <c r="G512" i="30"/>
  <c r="H512" i="30"/>
  <c r="I512" i="30"/>
  <c r="D513" i="30"/>
  <c r="F513" i="30"/>
  <c r="G513" i="30"/>
  <c r="H513" i="30"/>
  <c r="I513" i="30"/>
  <c r="D514" i="30"/>
  <c r="F514" i="30"/>
  <c r="G514" i="30"/>
  <c r="H514" i="30"/>
  <c r="I514" i="30"/>
  <c r="D515" i="30"/>
  <c r="F515" i="30"/>
  <c r="G515" i="30"/>
  <c r="H515" i="30"/>
  <c r="I515" i="30"/>
  <c r="D516" i="30"/>
  <c r="F516" i="30"/>
  <c r="G516" i="30"/>
  <c r="H516" i="30"/>
  <c r="I516" i="30"/>
  <c r="E416" i="30"/>
  <c r="E417" i="30"/>
  <c r="C416" i="30"/>
  <c r="D416" i="30"/>
  <c r="C417" i="30"/>
  <c r="D417" i="30"/>
  <c r="B102" i="30"/>
  <c r="B103" i="30"/>
  <c r="B104" i="30"/>
  <c r="B105" i="30"/>
  <c r="B106" i="30"/>
  <c r="B107" i="30"/>
  <c r="B108" i="30"/>
  <c r="B109" i="30"/>
  <c r="B110" i="30"/>
  <c r="B111" i="30"/>
  <c r="B112" i="30"/>
  <c r="B113" i="30"/>
  <c r="B114" i="30"/>
  <c r="B115" i="30"/>
  <c r="B101" i="30"/>
  <c r="F20" i="30"/>
  <c r="F60" i="30" s="1"/>
  <c r="G20" i="30"/>
  <c r="G60" i="30" s="1"/>
  <c r="H20" i="30"/>
  <c r="H60" i="30" s="1"/>
  <c r="F21" i="30"/>
  <c r="F61" i="30" s="1"/>
  <c r="G21" i="30"/>
  <c r="G61" i="30" s="1"/>
  <c r="H21" i="30"/>
  <c r="H61" i="30" s="1"/>
  <c r="F22" i="30"/>
  <c r="F62" i="30" s="1"/>
  <c r="G22" i="30"/>
  <c r="G62" i="30" s="1"/>
  <c r="H22" i="30"/>
  <c r="H62" i="30" s="1"/>
  <c r="F23" i="30"/>
  <c r="F63" i="30" s="1"/>
  <c r="G23" i="30"/>
  <c r="G63" i="30" s="1"/>
  <c r="H23" i="30"/>
  <c r="H63" i="30" s="1"/>
  <c r="F24" i="30"/>
  <c r="F64" i="30" s="1"/>
  <c r="G24" i="30"/>
  <c r="G64" i="30" s="1"/>
  <c r="H24" i="30"/>
  <c r="H64" i="30" s="1"/>
  <c r="F25" i="30"/>
  <c r="F65" i="30" s="1"/>
  <c r="G25" i="30"/>
  <c r="G65" i="30" s="1"/>
  <c r="H25" i="30"/>
  <c r="H65" i="30" s="1"/>
  <c r="F26" i="30"/>
  <c r="F66" i="30" s="1"/>
  <c r="G26" i="30"/>
  <c r="G66" i="30" s="1"/>
  <c r="H26" i="30"/>
  <c r="H66" i="30" s="1"/>
  <c r="F27" i="30"/>
  <c r="F67" i="30" s="1"/>
  <c r="G27" i="30"/>
  <c r="G67" i="30" s="1"/>
  <c r="H27" i="30"/>
  <c r="H67" i="30" s="1"/>
  <c r="F28" i="30"/>
  <c r="F68" i="30" s="1"/>
  <c r="G28" i="30"/>
  <c r="G68" i="30" s="1"/>
  <c r="H28" i="30"/>
  <c r="H68" i="30" s="1"/>
  <c r="F29" i="30"/>
  <c r="F69" i="30" s="1"/>
  <c r="G29" i="30"/>
  <c r="G69" i="30" s="1"/>
  <c r="H29" i="30"/>
  <c r="H69" i="30" s="1"/>
  <c r="F30" i="30"/>
  <c r="F70" i="30" s="1"/>
  <c r="G30" i="30"/>
  <c r="G70" i="30" s="1"/>
  <c r="H30" i="30"/>
  <c r="H70" i="30" s="1"/>
  <c r="F31" i="30"/>
  <c r="F71" i="30" s="1"/>
  <c r="G31" i="30"/>
  <c r="G71" i="30" s="1"/>
  <c r="H31" i="30"/>
  <c r="H71" i="30" s="1"/>
  <c r="F32" i="30"/>
  <c r="F72" i="30" s="1"/>
  <c r="G32" i="30"/>
  <c r="G72" i="30" s="1"/>
  <c r="H32" i="30"/>
  <c r="H72" i="30" s="1"/>
  <c r="F33" i="30"/>
  <c r="F73" i="30" s="1"/>
  <c r="G33" i="30"/>
  <c r="G73" i="30" s="1"/>
  <c r="H33" i="30"/>
  <c r="H73" i="30" s="1"/>
  <c r="F34" i="30"/>
  <c r="F74" i="30" s="1"/>
  <c r="G34" i="30"/>
  <c r="G74" i="30" s="1"/>
  <c r="H34" i="30"/>
  <c r="H74" i="30" s="1"/>
  <c r="F35" i="30"/>
  <c r="F75" i="30" s="1"/>
  <c r="G35" i="30"/>
  <c r="G75" i="30" s="1"/>
  <c r="H35" i="30"/>
  <c r="H75" i="30" s="1"/>
  <c r="F36" i="30"/>
  <c r="F76" i="30" s="1"/>
  <c r="G36" i="30"/>
  <c r="G76" i="30" s="1"/>
  <c r="H36" i="30"/>
  <c r="H76" i="30" s="1"/>
  <c r="F37" i="30"/>
  <c r="F77" i="30" s="1"/>
  <c r="G37" i="30"/>
  <c r="G77" i="30" s="1"/>
  <c r="H37" i="30"/>
  <c r="H77" i="30" s="1"/>
  <c r="F38" i="30"/>
  <c r="F78" i="30" s="1"/>
  <c r="G38" i="30"/>
  <c r="G78" i="30" s="1"/>
  <c r="H38" i="30"/>
  <c r="H78" i="30" s="1"/>
  <c r="F39" i="30"/>
  <c r="F79" i="30" s="1"/>
  <c r="G39" i="30"/>
  <c r="G79" i="30" s="1"/>
  <c r="H39" i="30"/>
  <c r="H79" i="30" s="1"/>
  <c r="F40" i="30"/>
  <c r="F80" i="30" s="1"/>
  <c r="G40" i="30"/>
  <c r="G80" i="30" s="1"/>
  <c r="H40" i="30"/>
  <c r="H80" i="30" s="1"/>
  <c r="F41" i="30"/>
  <c r="F81" i="30" s="1"/>
  <c r="G41" i="30"/>
  <c r="G81" i="30" s="1"/>
  <c r="H41" i="30"/>
  <c r="H81" i="30" s="1"/>
  <c r="F42" i="30"/>
  <c r="F82" i="30" s="1"/>
  <c r="G42" i="30"/>
  <c r="G82" i="30" s="1"/>
  <c r="H42" i="30"/>
  <c r="H82" i="30" s="1"/>
  <c r="F43" i="30"/>
  <c r="F83" i="30" s="1"/>
  <c r="G43" i="30"/>
  <c r="G83" i="30" s="1"/>
  <c r="H43" i="30"/>
  <c r="H83" i="30" s="1"/>
  <c r="F44" i="30"/>
  <c r="F84" i="30" s="1"/>
  <c r="G44" i="30"/>
  <c r="G84" i="30" s="1"/>
  <c r="H44" i="30"/>
  <c r="H84" i="30" s="1"/>
  <c r="F45" i="30"/>
  <c r="F85" i="30" s="1"/>
  <c r="G45" i="30"/>
  <c r="G85" i="30" s="1"/>
  <c r="H45" i="30"/>
  <c r="H85" i="30" s="1"/>
  <c r="F46" i="30"/>
  <c r="F86" i="30" s="1"/>
  <c r="G46" i="30"/>
  <c r="G86" i="30" s="1"/>
  <c r="H46" i="30"/>
  <c r="H86" i="30" s="1"/>
  <c r="F47" i="30"/>
  <c r="F87" i="30" s="1"/>
  <c r="G47" i="30"/>
  <c r="G87" i="30" s="1"/>
  <c r="H47" i="30"/>
  <c r="H87" i="30" s="1"/>
  <c r="F48" i="30"/>
  <c r="F88" i="30" s="1"/>
  <c r="G48" i="30"/>
  <c r="G88" i="30" s="1"/>
  <c r="H48" i="30"/>
  <c r="H88" i="30" s="1"/>
  <c r="F49" i="30"/>
  <c r="F89" i="30" s="1"/>
  <c r="G49" i="30"/>
  <c r="G89" i="30" s="1"/>
  <c r="H49" i="30"/>
  <c r="H89" i="30" s="1"/>
  <c r="F50" i="30"/>
  <c r="F90" i="30" s="1"/>
  <c r="G50" i="30"/>
  <c r="G90" i="30" s="1"/>
  <c r="H50" i="30"/>
  <c r="H90" i="30" s="1"/>
  <c r="F51" i="30"/>
  <c r="F91" i="30" s="1"/>
  <c r="G51" i="30"/>
  <c r="G91" i="30" s="1"/>
  <c r="H51" i="30"/>
  <c r="H91" i="30" s="1"/>
  <c r="F52" i="30"/>
  <c r="F92" i="30" s="1"/>
  <c r="G52" i="30"/>
  <c r="G92" i="30" s="1"/>
  <c r="H52" i="30"/>
  <c r="H92" i="30" s="1"/>
  <c r="C485" i="30"/>
  <c r="C486" i="30"/>
  <c r="C507" i="30"/>
  <c r="C488" i="30"/>
  <c r="C509" i="30"/>
  <c r="C510" i="30"/>
  <c r="C511" i="30"/>
  <c r="C492" i="30"/>
  <c r="C493" i="30"/>
  <c r="C494" i="30"/>
  <c r="C515" i="30"/>
  <c r="C496" i="30"/>
  <c r="E415" i="30"/>
  <c r="C415" i="30"/>
  <c r="D415" i="30"/>
  <c r="E371" i="30"/>
  <c r="E372" i="30"/>
  <c r="E373" i="30"/>
  <c r="E374" i="30"/>
  <c r="E333" i="30"/>
  <c r="E334" i="30"/>
  <c r="E377" i="30"/>
  <c r="E378" i="30"/>
  <c r="E379" i="30"/>
  <c r="E380" i="30"/>
  <c r="E381" i="30"/>
  <c r="E382" i="30"/>
  <c r="E341" i="30"/>
  <c r="E342" i="30"/>
  <c r="E385" i="30"/>
  <c r="E386" i="30"/>
  <c r="E387" i="30"/>
  <c r="E388" i="30"/>
  <c r="E389" i="30"/>
  <c r="E390" i="30"/>
  <c r="E349" i="30"/>
  <c r="E350" i="30"/>
  <c r="E393" i="30"/>
  <c r="E394" i="30"/>
  <c r="E395" i="30"/>
  <c r="E396" i="30"/>
  <c r="E397" i="30"/>
  <c r="E398" i="30"/>
  <c r="E357" i="30"/>
  <c r="E358" i="30"/>
  <c r="E401" i="30"/>
  <c r="E402" i="30"/>
  <c r="E403" i="30"/>
  <c r="E404" i="30"/>
  <c r="E405" i="30"/>
  <c r="C371" i="30"/>
  <c r="D329" i="30"/>
  <c r="C330" i="30"/>
  <c r="D372" i="30"/>
  <c r="C373" i="30"/>
  <c r="D373" i="30"/>
  <c r="C374" i="30"/>
  <c r="D374" i="30"/>
  <c r="C375" i="30"/>
  <c r="D333" i="30"/>
  <c r="C334" i="30"/>
  <c r="D376" i="30"/>
  <c r="C377" i="30"/>
  <c r="D377" i="30"/>
  <c r="C378" i="30"/>
  <c r="D378" i="30"/>
  <c r="C379" i="30"/>
  <c r="D337" i="30"/>
  <c r="C338" i="30"/>
  <c r="D380" i="30"/>
  <c r="C381" i="30"/>
  <c r="D381" i="30"/>
  <c r="C382" i="30"/>
  <c r="D382" i="30"/>
  <c r="C383" i="30"/>
  <c r="D341" i="30"/>
  <c r="C342" i="30"/>
  <c r="D384" i="30"/>
  <c r="C385" i="30"/>
  <c r="D385" i="30"/>
  <c r="C386" i="30"/>
  <c r="D386" i="30"/>
  <c r="C387" i="30"/>
  <c r="D345" i="30"/>
  <c r="C346" i="30"/>
  <c r="D388" i="30"/>
  <c r="C389" i="30"/>
  <c r="D389" i="30"/>
  <c r="C390" i="30"/>
  <c r="D390" i="30"/>
  <c r="C391" i="30"/>
  <c r="D349" i="30"/>
  <c r="C350" i="30"/>
  <c r="D392" i="30"/>
  <c r="C393" i="30"/>
  <c r="D393" i="30"/>
  <c r="C394" i="30"/>
  <c r="D394" i="30"/>
  <c r="C395" i="30"/>
  <c r="D353" i="30"/>
  <c r="C354" i="30"/>
  <c r="D396" i="30"/>
  <c r="C397" i="30"/>
  <c r="D397" i="30"/>
  <c r="C398" i="30"/>
  <c r="D398" i="30"/>
  <c r="C399" i="30"/>
  <c r="D357" i="30"/>
  <c r="C358" i="30"/>
  <c r="D400" i="30"/>
  <c r="C401" i="30"/>
  <c r="D401" i="30"/>
  <c r="C402" i="30"/>
  <c r="D402" i="30"/>
  <c r="C403" i="30"/>
  <c r="D361" i="30"/>
  <c r="C362" i="30"/>
  <c r="D404" i="30"/>
  <c r="C405" i="30"/>
  <c r="D405" i="30"/>
  <c r="E302" i="30"/>
  <c r="E303" i="30"/>
  <c r="E304" i="30"/>
  <c r="E305" i="30"/>
  <c r="E281" i="30"/>
  <c r="E282" i="30"/>
  <c r="E308" i="30"/>
  <c r="E309" i="30"/>
  <c r="E310" i="30"/>
  <c r="E311" i="30"/>
  <c r="E312" i="30"/>
  <c r="E313" i="30"/>
  <c r="E289" i="30"/>
  <c r="E290" i="30"/>
  <c r="E316" i="30"/>
  <c r="E317" i="30"/>
  <c r="E318" i="30"/>
  <c r="C302" i="30"/>
  <c r="D302" i="30"/>
  <c r="C303" i="30"/>
  <c r="D278" i="30"/>
  <c r="C279" i="30"/>
  <c r="D304" i="30"/>
  <c r="C305" i="30"/>
  <c r="D305" i="30"/>
  <c r="C306" i="30"/>
  <c r="D306" i="30"/>
  <c r="C307" i="30"/>
  <c r="D282" i="30"/>
  <c r="C283" i="30"/>
  <c r="D308" i="30"/>
  <c r="C309" i="30"/>
  <c r="D309" i="30"/>
  <c r="C310" i="30"/>
  <c r="D310" i="30"/>
  <c r="C311" i="30"/>
  <c r="D286" i="30"/>
  <c r="C287" i="30"/>
  <c r="D312" i="30"/>
  <c r="C313" i="30"/>
  <c r="D313" i="30"/>
  <c r="C314" i="30"/>
  <c r="D314" i="30"/>
  <c r="C315" i="30"/>
  <c r="D290" i="30"/>
  <c r="C291" i="30"/>
  <c r="D316" i="30"/>
  <c r="C317" i="30"/>
  <c r="D317" i="30"/>
  <c r="C318" i="30"/>
  <c r="D318" i="30"/>
  <c r="I20" i="30"/>
  <c r="I60" i="30" s="1"/>
  <c r="I21" i="30"/>
  <c r="I61" i="30" s="1"/>
  <c r="I22" i="30"/>
  <c r="I62" i="30" s="1"/>
  <c r="I23" i="30"/>
  <c r="I63" i="30" s="1"/>
  <c r="I24" i="30"/>
  <c r="I64" i="30" s="1"/>
  <c r="I25" i="30"/>
  <c r="I65" i="30" s="1"/>
  <c r="I26" i="30"/>
  <c r="I66" i="30" s="1"/>
  <c r="I27" i="30"/>
  <c r="I67" i="30" s="1"/>
  <c r="I28" i="30"/>
  <c r="I68" i="30" s="1"/>
  <c r="I29" i="30"/>
  <c r="I69" i="30" s="1"/>
  <c r="I30" i="30"/>
  <c r="I70" i="30" s="1"/>
  <c r="I31" i="30"/>
  <c r="I71" i="30" s="1"/>
  <c r="I32" i="30"/>
  <c r="I72" i="30" s="1"/>
  <c r="I33" i="30"/>
  <c r="I73" i="30" s="1"/>
  <c r="I34" i="30"/>
  <c r="I74" i="30" s="1"/>
  <c r="I35" i="30"/>
  <c r="I75" i="30" s="1"/>
  <c r="I36" i="30"/>
  <c r="I76" i="30" s="1"/>
  <c r="I37" i="30"/>
  <c r="I77" i="30" s="1"/>
  <c r="I38" i="30"/>
  <c r="I78" i="30" s="1"/>
  <c r="I39" i="30"/>
  <c r="I79" i="30" s="1"/>
  <c r="I40" i="30"/>
  <c r="I80" i="30" s="1"/>
  <c r="I41" i="30"/>
  <c r="I81" i="30" s="1"/>
  <c r="I42" i="30"/>
  <c r="I82" i="30" s="1"/>
  <c r="I43" i="30"/>
  <c r="I83" i="30" s="1"/>
  <c r="I44" i="30"/>
  <c r="I84" i="30" s="1"/>
  <c r="I45" i="30"/>
  <c r="I85" i="30" s="1"/>
  <c r="I46" i="30"/>
  <c r="I86" i="30" s="1"/>
  <c r="I47" i="30"/>
  <c r="I87" i="30" s="1"/>
  <c r="I48" i="30"/>
  <c r="I88" i="30" s="1"/>
  <c r="I49" i="30"/>
  <c r="I89" i="30" s="1"/>
  <c r="I50" i="30"/>
  <c r="I90" i="30" s="1"/>
  <c r="I51" i="30"/>
  <c r="I91" i="30" s="1"/>
  <c r="I52" i="30"/>
  <c r="I92" i="30" s="1"/>
  <c r="E52" i="30"/>
  <c r="E92" i="30" s="1"/>
  <c r="C52" i="30"/>
  <c r="C92" i="30" s="1"/>
  <c r="D52" i="30"/>
  <c r="D92" i="30" s="1"/>
  <c r="E20" i="30"/>
  <c r="E60" i="30" s="1"/>
  <c r="E21" i="30"/>
  <c r="E61" i="30" s="1"/>
  <c r="E22" i="30"/>
  <c r="E62" i="30" s="1"/>
  <c r="E23" i="30"/>
  <c r="E63" i="30" s="1"/>
  <c r="E24" i="30"/>
  <c r="E64" i="30" s="1"/>
  <c r="E25" i="30"/>
  <c r="E65" i="30" s="1"/>
  <c r="E26" i="30"/>
  <c r="E66" i="30" s="1"/>
  <c r="E27" i="30"/>
  <c r="E67" i="30" s="1"/>
  <c r="E28" i="30"/>
  <c r="E68" i="30" s="1"/>
  <c r="E29" i="30"/>
  <c r="E69" i="30" s="1"/>
  <c r="E30" i="30"/>
  <c r="E70" i="30" s="1"/>
  <c r="E31" i="30"/>
  <c r="E71" i="30" s="1"/>
  <c r="E32" i="30"/>
  <c r="E72" i="30" s="1"/>
  <c r="E33" i="30"/>
  <c r="E73" i="30" s="1"/>
  <c r="E34" i="30"/>
  <c r="E74" i="30" s="1"/>
  <c r="E35" i="30"/>
  <c r="E75" i="30" s="1"/>
  <c r="E36" i="30"/>
  <c r="E76" i="30" s="1"/>
  <c r="E37" i="30"/>
  <c r="E77" i="30" s="1"/>
  <c r="E38" i="30"/>
  <c r="E78" i="30" s="1"/>
  <c r="E39" i="30"/>
  <c r="E79" i="30" s="1"/>
  <c r="E40" i="30"/>
  <c r="E80" i="30" s="1"/>
  <c r="E41" i="30"/>
  <c r="E81" i="30" s="1"/>
  <c r="E42" i="30"/>
  <c r="E82" i="30" s="1"/>
  <c r="E43" i="30"/>
  <c r="E83" i="30" s="1"/>
  <c r="E44" i="30"/>
  <c r="E84" i="30" s="1"/>
  <c r="E45" i="30"/>
  <c r="E85" i="30" s="1"/>
  <c r="E46" i="30"/>
  <c r="E86" i="30" s="1"/>
  <c r="E47" i="30"/>
  <c r="E87" i="30" s="1"/>
  <c r="E48" i="30"/>
  <c r="E88" i="30" s="1"/>
  <c r="E49" i="30"/>
  <c r="E89" i="30" s="1"/>
  <c r="E50" i="30"/>
  <c r="E90" i="30" s="1"/>
  <c r="E51" i="30"/>
  <c r="E91" i="30" s="1"/>
  <c r="C20" i="30"/>
  <c r="C60" i="30" s="1"/>
  <c r="D20" i="30"/>
  <c r="D60" i="30" s="1"/>
  <c r="C21" i="30"/>
  <c r="C61" i="30" s="1"/>
  <c r="D21" i="30"/>
  <c r="D61" i="30" s="1"/>
  <c r="C22" i="30"/>
  <c r="C62" i="30" s="1"/>
  <c r="D22" i="30"/>
  <c r="D62" i="30" s="1"/>
  <c r="C23" i="30"/>
  <c r="C63" i="30" s="1"/>
  <c r="D23" i="30"/>
  <c r="D63" i="30" s="1"/>
  <c r="C24" i="30"/>
  <c r="C64" i="30" s="1"/>
  <c r="D24" i="30"/>
  <c r="D64" i="30" s="1"/>
  <c r="C25" i="30"/>
  <c r="C65" i="30" s="1"/>
  <c r="D25" i="30"/>
  <c r="D65" i="30" s="1"/>
  <c r="C26" i="30"/>
  <c r="C66" i="30" s="1"/>
  <c r="D26" i="30"/>
  <c r="D66" i="30" s="1"/>
  <c r="C27" i="30"/>
  <c r="C67" i="30" s="1"/>
  <c r="D27" i="30"/>
  <c r="D67" i="30" s="1"/>
  <c r="C28" i="30"/>
  <c r="C68" i="30" s="1"/>
  <c r="D28" i="30"/>
  <c r="D68" i="30" s="1"/>
  <c r="C29" i="30"/>
  <c r="C69" i="30" s="1"/>
  <c r="D29" i="30"/>
  <c r="D69" i="30" s="1"/>
  <c r="C30" i="30"/>
  <c r="C70" i="30" s="1"/>
  <c r="D30" i="30"/>
  <c r="D70" i="30" s="1"/>
  <c r="C31" i="30"/>
  <c r="C71" i="30" s="1"/>
  <c r="D31" i="30"/>
  <c r="D71" i="30" s="1"/>
  <c r="C32" i="30"/>
  <c r="C72" i="30" s="1"/>
  <c r="D32" i="30"/>
  <c r="D72" i="30" s="1"/>
  <c r="C33" i="30"/>
  <c r="C73" i="30" s="1"/>
  <c r="D33" i="30"/>
  <c r="D73" i="30" s="1"/>
  <c r="C34" i="30"/>
  <c r="C74" i="30" s="1"/>
  <c r="D34" i="30"/>
  <c r="D74" i="30" s="1"/>
  <c r="C35" i="30"/>
  <c r="C75" i="30" s="1"/>
  <c r="D35" i="30"/>
  <c r="D75" i="30" s="1"/>
  <c r="C36" i="30"/>
  <c r="C76" i="30" s="1"/>
  <c r="D36" i="30"/>
  <c r="D76" i="30" s="1"/>
  <c r="C37" i="30"/>
  <c r="C77" i="30" s="1"/>
  <c r="D37" i="30"/>
  <c r="D77" i="30" s="1"/>
  <c r="C38" i="30"/>
  <c r="C78" i="30" s="1"/>
  <c r="D38" i="30"/>
  <c r="D78" i="30" s="1"/>
  <c r="C39" i="30"/>
  <c r="C79" i="30" s="1"/>
  <c r="D39" i="30"/>
  <c r="D79" i="30" s="1"/>
  <c r="C40" i="30"/>
  <c r="C80" i="30" s="1"/>
  <c r="D40" i="30"/>
  <c r="D80" i="30" s="1"/>
  <c r="C41" i="30"/>
  <c r="C81" i="30" s="1"/>
  <c r="D41" i="30"/>
  <c r="D81" i="30" s="1"/>
  <c r="C42" i="30"/>
  <c r="C82" i="30" s="1"/>
  <c r="D42" i="30"/>
  <c r="D82" i="30" s="1"/>
  <c r="C43" i="30"/>
  <c r="C83" i="30" s="1"/>
  <c r="D43" i="30"/>
  <c r="D83" i="30" s="1"/>
  <c r="C44" i="30"/>
  <c r="C84" i="30" s="1"/>
  <c r="D44" i="30"/>
  <c r="D84" i="30" s="1"/>
  <c r="C45" i="30"/>
  <c r="C85" i="30" s="1"/>
  <c r="D45" i="30"/>
  <c r="D85" i="30" s="1"/>
  <c r="C46" i="30"/>
  <c r="C86" i="30" s="1"/>
  <c r="D46" i="30"/>
  <c r="D86" i="30" s="1"/>
  <c r="C47" i="30"/>
  <c r="C87" i="30" s="1"/>
  <c r="D47" i="30"/>
  <c r="D87" i="30" s="1"/>
  <c r="C48" i="30"/>
  <c r="C88" i="30" s="1"/>
  <c r="D48" i="30"/>
  <c r="D88" i="30" s="1"/>
  <c r="C49" i="30"/>
  <c r="C89" i="30" s="1"/>
  <c r="D49" i="30"/>
  <c r="D89" i="30" s="1"/>
  <c r="C50" i="30"/>
  <c r="C90" i="30" s="1"/>
  <c r="D50" i="30"/>
  <c r="D90" i="30" s="1"/>
  <c r="C51" i="30"/>
  <c r="C91" i="30" s="1"/>
  <c r="D51" i="30"/>
  <c r="D91" i="30" s="1"/>
  <c r="T82" i="31" l="1"/>
  <c r="C333" i="30"/>
  <c r="E332" i="30"/>
  <c r="E399" i="30"/>
  <c r="C345" i="30"/>
  <c r="D303" i="30"/>
  <c r="C337" i="30"/>
  <c r="D395" i="30"/>
  <c r="C290" i="30"/>
  <c r="E314" i="30"/>
  <c r="C361" i="30"/>
  <c r="C329" i="30"/>
  <c r="D391" i="30"/>
  <c r="E383" i="30"/>
  <c r="C286" i="30"/>
  <c r="E306" i="30"/>
  <c r="C357" i="30"/>
  <c r="E356" i="30"/>
  <c r="D387" i="30"/>
  <c r="E375" i="30"/>
  <c r="D307" i="30"/>
  <c r="C282" i="30"/>
  <c r="C353" i="30"/>
  <c r="E348" i="30"/>
  <c r="D383" i="30"/>
  <c r="D399" i="30"/>
  <c r="E391" i="30"/>
  <c r="C278" i="30"/>
  <c r="C349" i="30"/>
  <c r="E340" i="30"/>
  <c r="D379" i="30"/>
  <c r="E288" i="30"/>
  <c r="D315" i="30"/>
  <c r="D375" i="30"/>
  <c r="C490" i="30"/>
  <c r="E280" i="30"/>
  <c r="D311" i="30"/>
  <c r="C341" i="30"/>
  <c r="D403" i="30"/>
  <c r="D371" i="30"/>
  <c r="C316" i="30"/>
  <c r="C312" i="30"/>
  <c r="C308" i="30"/>
  <c r="C304" i="30"/>
  <c r="E315" i="30"/>
  <c r="E307" i="30"/>
  <c r="C404" i="30"/>
  <c r="C400" i="30"/>
  <c r="C396" i="30"/>
  <c r="C392" i="30"/>
  <c r="C388" i="30"/>
  <c r="C384" i="30"/>
  <c r="C380" i="30"/>
  <c r="C376" i="30"/>
  <c r="C372" i="30"/>
  <c r="E400" i="30"/>
  <c r="E392" i="30"/>
  <c r="E384" i="30"/>
  <c r="E376" i="30"/>
  <c r="C491" i="30"/>
  <c r="C516" i="30"/>
  <c r="C512" i="30"/>
  <c r="C508" i="30"/>
  <c r="D293" i="30"/>
  <c r="D289" i="30"/>
  <c r="D285" i="30"/>
  <c r="D281" i="30"/>
  <c r="D277" i="30"/>
  <c r="E287" i="30"/>
  <c r="E279" i="30"/>
  <c r="D360" i="30"/>
  <c r="D356" i="30"/>
  <c r="D352" i="30"/>
  <c r="D348" i="30"/>
  <c r="D344" i="30"/>
  <c r="D340" i="30"/>
  <c r="D336" i="30"/>
  <c r="D332" i="30"/>
  <c r="E363" i="30"/>
  <c r="E355" i="30"/>
  <c r="E347" i="30"/>
  <c r="E339" i="30"/>
  <c r="E331" i="30"/>
  <c r="C489" i="30"/>
  <c r="C513" i="30"/>
  <c r="C505" i="30"/>
  <c r="C293" i="30"/>
  <c r="C289" i="30"/>
  <c r="C285" i="30"/>
  <c r="C281" i="30"/>
  <c r="C277" i="30"/>
  <c r="E286" i="30"/>
  <c r="E278" i="30"/>
  <c r="C360" i="30"/>
  <c r="C356" i="30"/>
  <c r="C352" i="30"/>
  <c r="C348" i="30"/>
  <c r="C344" i="30"/>
  <c r="C340" i="30"/>
  <c r="C336" i="30"/>
  <c r="C332" i="30"/>
  <c r="E362" i="30"/>
  <c r="E354" i="30"/>
  <c r="E346" i="30"/>
  <c r="E338" i="30"/>
  <c r="E330" i="30"/>
  <c r="D292" i="30"/>
  <c r="D288" i="30"/>
  <c r="D284" i="30"/>
  <c r="D280" i="30"/>
  <c r="E293" i="30"/>
  <c r="E285" i="30"/>
  <c r="E277" i="30"/>
  <c r="D363" i="30"/>
  <c r="D359" i="30"/>
  <c r="D355" i="30"/>
  <c r="D351" i="30"/>
  <c r="D347" i="30"/>
  <c r="D343" i="30"/>
  <c r="D339" i="30"/>
  <c r="D335" i="30"/>
  <c r="D331" i="30"/>
  <c r="E361" i="30"/>
  <c r="E353" i="30"/>
  <c r="E345" i="30"/>
  <c r="E337" i="30"/>
  <c r="E329" i="30"/>
  <c r="C495" i="30"/>
  <c r="C487" i="30"/>
  <c r="C514" i="30"/>
  <c r="C506" i="30"/>
  <c r="C292" i="30"/>
  <c r="C288" i="30"/>
  <c r="C284" i="30"/>
  <c r="C280" i="30"/>
  <c r="E292" i="30"/>
  <c r="E284" i="30"/>
  <c r="C363" i="30"/>
  <c r="C359" i="30"/>
  <c r="C355" i="30"/>
  <c r="C351" i="30"/>
  <c r="C347" i="30"/>
  <c r="C343" i="30"/>
  <c r="C339" i="30"/>
  <c r="C335" i="30"/>
  <c r="C331" i="30"/>
  <c r="E360" i="30"/>
  <c r="E352" i="30"/>
  <c r="E344" i="30"/>
  <c r="E336" i="30"/>
  <c r="D291" i="30"/>
  <c r="D287" i="30"/>
  <c r="D283" i="30"/>
  <c r="D279" i="30"/>
  <c r="E291" i="30"/>
  <c r="E283" i="30"/>
  <c r="D362" i="30"/>
  <c r="D358" i="30"/>
  <c r="D354" i="30"/>
  <c r="D350" i="30"/>
  <c r="D346" i="30"/>
  <c r="D342" i="30"/>
  <c r="D338" i="30"/>
  <c r="D334" i="30"/>
  <c r="D330" i="30"/>
  <c r="E359" i="30"/>
  <c r="E351" i="30"/>
  <c r="E343" i="30"/>
  <c r="E335" i="30"/>
  <c r="F101" i="4" l="1"/>
  <c r="G101" i="4"/>
  <c r="H101" i="4"/>
  <c r="I101" i="4"/>
  <c r="E101" i="4"/>
  <c r="E184" i="2" l="1"/>
  <c r="F184" i="2"/>
  <c r="G184" i="2"/>
  <c r="H184" i="2"/>
  <c r="D184" i="2"/>
  <c r="I92" i="35"/>
  <c r="I74" i="35"/>
  <c r="I75" i="35"/>
  <c r="I76" i="35"/>
  <c r="I77" i="35"/>
  <c r="I78" i="35"/>
  <c r="I79" i="35"/>
  <c r="I80" i="35"/>
  <c r="I68" i="35"/>
  <c r="I69" i="35"/>
  <c r="I70" i="35"/>
  <c r="I71" i="35"/>
  <c r="I57" i="35"/>
  <c r="I58" i="35"/>
  <c r="I59" i="35"/>
  <c r="I60" i="35"/>
  <c r="I61" i="35"/>
  <c r="I62" i="35"/>
  <c r="I50" i="35"/>
  <c r="I51" i="35"/>
  <c r="I52" i="35"/>
  <c r="I53" i="35"/>
  <c r="I54" i="35"/>
  <c r="I55" i="35"/>
  <c r="K58" i="35"/>
  <c r="I56" i="35"/>
  <c r="K56" i="35" s="1"/>
  <c r="K59" i="35"/>
  <c r="D16" i="35"/>
  <c r="B6" i="35"/>
  <c r="I91" i="35" l="1"/>
  <c r="I90" i="35"/>
  <c r="I89" i="35"/>
  <c r="I88" i="35"/>
  <c r="I87" i="35"/>
  <c r="I67" i="35"/>
  <c r="I66" i="35"/>
  <c r="I65" i="35"/>
  <c r="I26" i="35"/>
  <c r="I25" i="35"/>
  <c r="I20" i="35"/>
  <c r="I19" i="35"/>
  <c r="I18" i="35"/>
  <c r="I17" i="35"/>
  <c r="I16" i="35"/>
  <c r="I23" i="35" s="1"/>
  <c r="H23" i="35"/>
  <c r="H32" i="35" s="1"/>
  <c r="H45" i="35" s="1"/>
  <c r="H82" i="35" s="1"/>
  <c r="H94" i="35" s="1"/>
  <c r="H96" i="35" s="1"/>
  <c r="I32" i="35" l="1"/>
  <c r="I45" i="35" s="1"/>
  <c r="I82" i="35" s="1"/>
  <c r="I94" i="35" s="1"/>
  <c r="I96" i="35" s="1"/>
  <c r="F65" i="4" l="1"/>
  <c r="E23" i="35" l="1"/>
  <c r="B11" i="35"/>
  <c r="K25" i="35" l="1"/>
  <c r="K62" i="35"/>
  <c r="K55" i="35"/>
  <c r="K65" i="35"/>
  <c r="K75" i="35"/>
  <c r="K88" i="35"/>
  <c r="K66" i="35"/>
  <c r="K76" i="35"/>
  <c r="K89" i="35"/>
  <c r="K54" i="35"/>
  <c r="K26" i="35"/>
  <c r="K57" i="35"/>
  <c r="K67" i="35"/>
  <c r="K77" i="35"/>
  <c r="K90" i="35"/>
  <c r="K74" i="35"/>
  <c r="K50" i="35"/>
  <c r="K91" i="35"/>
  <c r="K51" i="35"/>
  <c r="K69" i="35"/>
  <c r="K79" i="35"/>
  <c r="K92" i="35"/>
  <c r="K87" i="35"/>
  <c r="K68" i="35"/>
  <c r="K78" i="35"/>
  <c r="K52" i="35"/>
  <c r="K60" i="35"/>
  <c r="K70" i="35"/>
  <c r="K80" i="35"/>
  <c r="K53" i="35"/>
  <c r="K61" i="35"/>
  <c r="K71" i="35"/>
  <c r="E32" i="35"/>
  <c r="E45" i="35" l="1"/>
  <c r="E82" i="35" l="1"/>
  <c r="E94" i="35" l="1"/>
  <c r="E96" i="35" l="1"/>
  <c r="D54" i="5" l="1"/>
  <c r="B3" i="35" l="1"/>
  <c r="A3" i="29" l="1"/>
  <c r="E6" i="29"/>
  <c r="E5" i="29" s="1"/>
  <c r="E7" i="29"/>
  <c r="F191" i="28"/>
  <c r="F190" i="28"/>
  <c r="F79" i="28"/>
  <c r="H59" i="2"/>
  <c r="G59" i="2"/>
  <c r="F59" i="2"/>
  <c r="E59" i="2"/>
  <c r="D59" i="2"/>
  <c r="J58" i="2"/>
  <c r="J57" i="2"/>
  <c r="H30" i="2"/>
  <c r="G30" i="2"/>
  <c r="F30" i="2"/>
  <c r="E30" i="2"/>
  <c r="D30" i="2"/>
  <c r="J29" i="2"/>
  <c r="J28" i="2"/>
  <c r="D55" i="5"/>
  <c r="D7" i="2"/>
  <c r="D23" i="35" l="1"/>
  <c r="J59" i="2"/>
  <c r="J30" i="2"/>
  <c r="B5" i="35"/>
  <c r="D32" i="35" l="1"/>
  <c r="K23" i="35"/>
  <c r="E59" i="11"/>
  <c r="F59" i="11"/>
  <c r="G59" i="11"/>
  <c r="H59" i="11"/>
  <c r="D59" i="11"/>
  <c r="D45" i="35" l="1"/>
  <c r="K32" i="35"/>
  <c r="E25" i="28"/>
  <c r="D27" i="28"/>
  <c r="E55" i="5"/>
  <c r="F21" i="29" s="1"/>
  <c r="F55" i="5"/>
  <c r="G21" i="29" s="1"/>
  <c r="G55" i="5"/>
  <c r="H21" i="29" s="1"/>
  <c r="H55" i="5"/>
  <c r="I21" i="29" s="1"/>
  <c r="D48" i="5"/>
  <c r="E41" i="5"/>
  <c r="F41" i="5"/>
  <c r="G41" i="5"/>
  <c r="H41" i="5"/>
  <c r="D41" i="5"/>
  <c r="E21" i="29" s="1"/>
  <c r="D82" i="35" l="1"/>
  <c r="K45" i="35"/>
  <c r="D24" i="28"/>
  <c r="D94" i="35" l="1"/>
  <c r="K82" i="35"/>
  <c r="B76" i="1"/>
  <c r="B49" i="1" s="1"/>
  <c r="H54" i="5"/>
  <c r="G54" i="5"/>
  <c r="F54" i="5"/>
  <c r="E54" i="5"/>
  <c r="D96" i="35" l="1"/>
  <c r="K94" i="35"/>
  <c r="B22" i="1"/>
  <c r="A3" i="4"/>
  <c r="B3" i="5" l="1"/>
  <c r="D78" i="1" l="1"/>
  <c r="E78" i="1"/>
  <c r="F78" i="1"/>
  <c r="G78" i="1"/>
  <c r="H78" i="1"/>
  <c r="D79" i="1"/>
  <c r="E79" i="1"/>
  <c r="F79" i="1"/>
  <c r="G79" i="1"/>
  <c r="H79" i="1"/>
  <c r="D80" i="1"/>
  <c r="E80" i="1"/>
  <c r="F80" i="1"/>
  <c r="G80" i="1"/>
  <c r="H80" i="1"/>
  <c r="D81" i="1"/>
  <c r="E81" i="1"/>
  <c r="F81" i="1"/>
  <c r="G81" i="1"/>
  <c r="H81" i="1"/>
  <c r="E77" i="1"/>
  <c r="F77" i="1"/>
  <c r="G77" i="1"/>
  <c r="H77" i="1"/>
  <c r="D77" i="1"/>
  <c r="E75" i="1"/>
  <c r="F75" i="1"/>
  <c r="G75" i="1"/>
  <c r="H75" i="1"/>
  <c r="B75" i="1"/>
  <c r="B74" i="1"/>
  <c r="E67" i="1" l="1"/>
  <c r="F67" i="1"/>
  <c r="G67" i="1"/>
  <c r="H67" i="1"/>
  <c r="D67" i="1"/>
  <c r="D69" i="1" l="1"/>
  <c r="E69" i="1"/>
  <c r="F69" i="1"/>
  <c r="G69" i="1"/>
  <c r="H69" i="1"/>
  <c r="D70" i="1"/>
  <c r="E70" i="1"/>
  <c r="F70" i="1"/>
  <c r="G70" i="1"/>
  <c r="H70" i="1"/>
  <c r="D71" i="1"/>
  <c r="E71" i="1"/>
  <c r="F71" i="1"/>
  <c r="G71" i="1"/>
  <c r="H71" i="1"/>
  <c r="D72" i="1"/>
  <c r="E72" i="1"/>
  <c r="F72" i="1"/>
  <c r="G72" i="1"/>
  <c r="H72" i="1"/>
  <c r="D73" i="1"/>
  <c r="E73" i="1"/>
  <c r="F73" i="1"/>
  <c r="G73" i="1"/>
  <c r="H73" i="1"/>
  <c r="E68" i="1"/>
  <c r="F68" i="1"/>
  <c r="G68" i="1"/>
  <c r="H68" i="1"/>
  <c r="D68" i="1"/>
  <c r="E25" i="2" l="1"/>
  <c r="F25" i="2"/>
  <c r="G25" i="2"/>
  <c r="H25" i="2"/>
  <c r="E149" i="2" l="1"/>
  <c r="F149" i="2"/>
  <c r="G149" i="2"/>
  <c r="H149" i="2"/>
  <c r="E141" i="2"/>
  <c r="F74" i="4" s="1"/>
  <c r="F141" i="2"/>
  <c r="G74" i="4" s="1"/>
  <c r="G141" i="2"/>
  <c r="H141" i="2"/>
  <c r="H150" i="2" s="1"/>
  <c r="D141" i="2"/>
  <c r="D149" i="2"/>
  <c r="G150" i="2" l="1"/>
  <c r="D150" i="2"/>
  <c r="F150" i="2"/>
  <c r="I74" i="4"/>
  <c r="E74" i="4"/>
  <c r="E150" i="2"/>
  <c r="H74" i="4"/>
  <c r="F88" i="4" l="1"/>
  <c r="F90" i="4" s="1"/>
  <c r="G88" i="4"/>
  <c r="G90" i="4" s="1"/>
  <c r="H88" i="4"/>
  <c r="H90" i="4" s="1"/>
  <c r="I88" i="4"/>
  <c r="I90" i="4" s="1"/>
  <c r="C43" i="19" l="1"/>
  <c r="C42" i="19"/>
  <c r="C40" i="19"/>
  <c r="C39" i="19"/>
  <c r="C37" i="19"/>
  <c r="C36" i="19"/>
  <c r="C34" i="19"/>
  <c r="C33" i="19"/>
  <c r="C13" i="4" l="1"/>
  <c r="C14" i="4"/>
  <c r="C15" i="4"/>
  <c r="C16" i="4"/>
  <c r="C17" i="4"/>
  <c r="C18" i="4"/>
  <c r="D25" i="2" l="1"/>
  <c r="H83" i="2" l="1"/>
  <c r="G83" i="2"/>
  <c r="F83" i="2"/>
  <c r="E83" i="2"/>
  <c r="D83" i="2"/>
  <c r="J82" i="2"/>
  <c r="J81" i="2"/>
  <c r="H54" i="2"/>
  <c r="G54" i="2"/>
  <c r="F54" i="2"/>
  <c r="E54" i="2"/>
  <c r="D54" i="2"/>
  <c r="J53" i="2"/>
  <c r="J52" i="2"/>
  <c r="J83" i="2" l="1"/>
  <c r="J54" i="2"/>
  <c r="J25" i="2"/>
  <c r="J24" i="2" l="1"/>
  <c r="J23" i="2"/>
  <c r="B3" i="1" l="1"/>
  <c r="F68" i="4" l="1"/>
  <c r="G68" i="4"/>
  <c r="H68" i="4"/>
  <c r="I68" i="4"/>
  <c r="E68" i="4"/>
  <c r="E88" i="4"/>
  <c r="E90" i="4" s="1"/>
  <c r="D63" i="11" l="1"/>
  <c r="M627" i="30" l="1"/>
  <c r="F67" i="4" l="1"/>
  <c r="G67" i="4"/>
  <c r="H67" i="4"/>
  <c r="I67" i="4"/>
  <c r="E67" i="4"/>
  <c r="B3" i="17" l="1"/>
  <c r="B3" i="31" l="1"/>
  <c r="B3" i="27"/>
  <c r="C8" i="28"/>
  <c r="G36" i="10" s="1"/>
  <c r="E17" i="2"/>
  <c r="E33" i="2" s="1"/>
  <c r="E46" i="2"/>
  <c r="E62" i="2" s="1"/>
  <c r="E75" i="2"/>
  <c r="D6" i="5"/>
  <c r="C8" i="13"/>
  <c r="B4" i="35" s="1"/>
  <c r="F17" i="2"/>
  <c r="F33" i="2" s="1"/>
  <c r="F46" i="2"/>
  <c r="F62" i="2" s="1"/>
  <c r="F75" i="2"/>
  <c r="G17" i="2"/>
  <c r="G33" i="2" s="1"/>
  <c r="G46" i="2"/>
  <c r="G62" i="2" s="1"/>
  <c r="G75" i="2"/>
  <c r="H17" i="2"/>
  <c r="H33" i="2" s="1"/>
  <c r="H46" i="2"/>
  <c r="H62" i="2" s="1"/>
  <c r="H75" i="2"/>
  <c r="D17" i="2"/>
  <c r="D33" i="2" s="1"/>
  <c r="D46" i="2"/>
  <c r="D62" i="2" s="1"/>
  <c r="D75" i="2"/>
  <c r="B22" i="17"/>
  <c r="B21" i="17"/>
  <c r="B20" i="17"/>
  <c r="C46" i="28"/>
  <c r="D46" i="28" s="1"/>
  <c r="E46" i="28" s="1"/>
  <c r="F46" i="28" s="1"/>
  <c r="O79" i="28" s="1"/>
  <c r="E27" i="28"/>
  <c r="P54" i="28"/>
  <c r="H67" i="5"/>
  <c r="G67" i="5"/>
  <c r="F67" i="5"/>
  <c r="E67" i="5"/>
  <c r="D67" i="5"/>
  <c r="H20" i="5"/>
  <c r="G20" i="5"/>
  <c r="F20" i="5"/>
  <c r="E20" i="5"/>
  <c r="D20" i="5"/>
  <c r="C35" i="28"/>
  <c r="D35" i="28" s="1"/>
  <c r="E35" i="28" s="1"/>
  <c r="F35" i="28" s="1"/>
  <c r="H79" i="28" s="1"/>
  <c r="F56" i="28"/>
  <c r="F57" i="28"/>
  <c r="F58" i="28"/>
  <c r="F59" i="28"/>
  <c r="F60" i="28"/>
  <c r="F61" i="28"/>
  <c r="F62" i="28"/>
  <c r="F63" i="28"/>
  <c r="F64" i="28"/>
  <c r="F65" i="28"/>
  <c r="F66" i="28"/>
  <c r="F67" i="28"/>
  <c r="F68" i="28"/>
  <c r="F69" i="28"/>
  <c r="F70" i="28"/>
  <c r="F71" i="28"/>
  <c r="F72" i="28"/>
  <c r="F73" i="28"/>
  <c r="F74" i="28"/>
  <c r="F75" i="28"/>
  <c r="F76" i="28"/>
  <c r="F77" i="28"/>
  <c r="F78" i="28"/>
  <c r="F80" i="28"/>
  <c r="F81" i="28"/>
  <c r="F82" i="28"/>
  <c r="F83" i="28"/>
  <c r="F55" i="28"/>
  <c r="K17" i="28"/>
  <c r="L17" i="28" s="1"/>
  <c r="M17" i="28" s="1"/>
  <c r="N17" i="28" s="1"/>
  <c r="K16" i="28"/>
  <c r="L16" i="28" s="1"/>
  <c r="M16" i="28" s="1"/>
  <c r="N16" i="28" s="1"/>
  <c r="K19" i="28"/>
  <c r="L19" i="28" s="1"/>
  <c r="M19" i="28" s="1"/>
  <c r="N19" i="28" s="1"/>
  <c r="H105" i="2"/>
  <c r="G105" i="2"/>
  <c r="F105" i="2"/>
  <c r="E105" i="2"/>
  <c r="D105" i="2"/>
  <c r="H7" i="1"/>
  <c r="G7" i="1"/>
  <c r="F7" i="1"/>
  <c r="E7" i="1"/>
  <c r="D7" i="1"/>
  <c r="H7" i="19"/>
  <c r="G7" i="19"/>
  <c r="F7" i="19"/>
  <c r="E7" i="19"/>
  <c r="D7" i="19"/>
  <c r="H7" i="11"/>
  <c r="G7" i="11"/>
  <c r="F7" i="11"/>
  <c r="E7" i="11"/>
  <c r="D7" i="11"/>
  <c r="I7" i="29"/>
  <c r="H7" i="29"/>
  <c r="G7" i="29"/>
  <c r="F7" i="29"/>
  <c r="I7" i="10"/>
  <c r="H7" i="10"/>
  <c r="G7" i="10"/>
  <c r="F7" i="10"/>
  <c r="E7" i="10"/>
  <c r="H7" i="27"/>
  <c r="G7" i="27"/>
  <c r="F7" i="27"/>
  <c r="E7" i="27"/>
  <c r="D7" i="27"/>
  <c r="H7" i="17"/>
  <c r="G7" i="17"/>
  <c r="F7" i="17"/>
  <c r="E7" i="17"/>
  <c r="D7" i="17"/>
  <c r="H7" i="5"/>
  <c r="G7" i="5"/>
  <c r="F7" i="5"/>
  <c r="E7" i="5"/>
  <c r="D7" i="5"/>
  <c r="H7" i="2"/>
  <c r="G7" i="2"/>
  <c r="F7" i="2"/>
  <c r="E7" i="2"/>
  <c r="I7" i="4"/>
  <c r="H7" i="4"/>
  <c r="F7" i="4"/>
  <c r="E7" i="4"/>
  <c r="E6" i="4"/>
  <c r="D6" i="1"/>
  <c r="D5" i="1" s="1"/>
  <c r="G7" i="4"/>
  <c r="E63" i="11"/>
  <c r="F63" i="11"/>
  <c r="G63" i="11"/>
  <c r="H63" i="11"/>
  <c r="A3" i="21"/>
  <c r="A3" i="1"/>
  <c r="A3" i="14"/>
  <c r="A3" i="2"/>
  <c r="A3" i="5"/>
  <c r="A3" i="17"/>
  <c r="A3" i="30"/>
  <c r="A3" i="27"/>
  <c r="A3" i="31"/>
  <c r="A3" i="10"/>
  <c r="A3" i="11"/>
  <c r="A3" i="19"/>
  <c r="A3" i="28"/>
  <c r="D47" i="5"/>
  <c r="D40" i="5"/>
  <c r="D89" i="28"/>
  <c r="E89" i="28" s="1"/>
  <c r="F89" i="28" s="1"/>
  <c r="G89" i="28" s="1"/>
  <c r="H89" i="28" s="1"/>
  <c r="I89" i="28" s="1"/>
  <c r="I54" i="28"/>
  <c r="A2" i="14"/>
  <c r="A2" i="1"/>
  <c r="A2" i="4"/>
  <c r="A2" i="2"/>
  <c r="A2" i="5"/>
  <c r="A2" i="17"/>
  <c r="A2" i="30"/>
  <c r="A2" i="27"/>
  <c r="A2" i="31"/>
  <c r="A2" i="10"/>
  <c r="A2" i="29"/>
  <c r="A2" i="11"/>
  <c r="A2" i="19"/>
  <c r="A2" i="21"/>
  <c r="A2" i="28"/>
  <c r="D24" i="11"/>
  <c r="E122" i="2"/>
  <c r="F122" i="2"/>
  <c r="G122" i="2"/>
  <c r="H122" i="2"/>
  <c r="D122" i="2"/>
  <c r="E77" i="4" s="1"/>
  <c r="F184" i="28"/>
  <c r="F183" i="28"/>
  <c r="A3" i="13"/>
  <c r="D60" i="19"/>
  <c r="E60" i="19"/>
  <c r="F60" i="19"/>
  <c r="F62" i="19" s="1"/>
  <c r="G60" i="19"/>
  <c r="G62" i="19" s="1"/>
  <c r="H60" i="19"/>
  <c r="H62" i="19" s="1"/>
  <c r="D62" i="19"/>
  <c r="E62" i="19"/>
  <c r="D67" i="19"/>
  <c r="E67" i="19"/>
  <c r="F67" i="19"/>
  <c r="G67" i="19"/>
  <c r="H67" i="19"/>
  <c r="E48" i="11"/>
  <c r="E67" i="11" s="1"/>
  <c r="F48" i="11"/>
  <c r="F67" i="11" s="1"/>
  <c r="G48" i="11"/>
  <c r="G67" i="11" s="1"/>
  <c r="H48" i="11"/>
  <c r="H67" i="11" s="1"/>
  <c r="D48" i="11"/>
  <c r="D67" i="11" s="1"/>
  <c r="E36" i="11"/>
  <c r="F36" i="11"/>
  <c r="G36" i="11"/>
  <c r="H36" i="11"/>
  <c r="D36" i="11"/>
  <c r="E44" i="11"/>
  <c r="F44" i="11"/>
  <c r="G44" i="11"/>
  <c r="H44" i="11"/>
  <c r="D44" i="11"/>
  <c r="E40" i="5"/>
  <c r="F40" i="5"/>
  <c r="G40" i="5"/>
  <c r="H40" i="5"/>
  <c r="D117" i="2"/>
  <c r="E117" i="2"/>
  <c r="F117" i="2"/>
  <c r="G117" i="2"/>
  <c r="H117" i="2"/>
  <c r="H73" i="2"/>
  <c r="G73" i="2"/>
  <c r="F73" i="2"/>
  <c r="E73" i="2"/>
  <c r="D73" i="2"/>
  <c r="J72" i="2"/>
  <c r="J71" i="2"/>
  <c r="B47" i="1"/>
  <c r="D13" i="28"/>
  <c r="E13" i="28"/>
  <c r="F13" i="28"/>
  <c r="G13" i="28"/>
  <c r="H13" i="28"/>
  <c r="I13" i="28"/>
  <c r="J13" i="28"/>
  <c r="K13" i="28"/>
  <c r="L13" i="28"/>
  <c r="M13" i="28"/>
  <c r="N13" i="28"/>
  <c r="C13" i="28"/>
  <c r="C7" i="28"/>
  <c r="D52" i="19"/>
  <c r="D51" i="19"/>
  <c r="E52" i="19"/>
  <c r="F52" i="19" s="1"/>
  <c r="F51" i="19" s="1"/>
  <c r="D104" i="2"/>
  <c r="D103" i="2" s="1"/>
  <c r="F189" i="28"/>
  <c r="F188" i="28"/>
  <c r="F187" i="28"/>
  <c r="E216" i="28"/>
  <c r="F186" i="28" s="1"/>
  <c r="B216" i="28"/>
  <c r="F185" i="28" s="1"/>
  <c r="G128" i="28"/>
  <c r="E370" i="30"/>
  <c r="D370" i="30"/>
  <c r="E328" i="30"/>
  <c r="D328" i="30"/>
  <c r="I115" i="30"/>
  <c r="I136" i="30" s="1"/>
  <c r="H115" i="30"/>
  <c r="H136" i="30" s="1"/>
  <c r="G115" i="30"/>
  <c r="G136" i="30" s="1"/>
  <c r="F115" i="30"/>
  <c r="F136" i="30" s="1"/>
  <c r="E115" i="30"/>
  <c r="E136" i="30" s="1"/>
  <c r="D115" i="30"/>
  <c r="D136" i="30" s="1"/>
  <c r="C115" i="30"/>
  <c r="C136" i="30" s="1"/>
  <c r="I114" i="30"/>
  <c r="I135" i="30" s="1"/>
  <c r="H114" i="30"/>
  <c r="H135" i="30" s="1"/>
  <c r="G114" i="30"/>
  <c r="G135" i="30" s="1"/>
  <c r="F114" i="30"/>
  <c r="F135" i="30" s="1"/>
  <c r="E114" i="30"/>
  <c r="E135" i="30" s="1"/>
  <c r="D114" i="30"/>
  <c r="D135" i="30" s="1"/>
  <c r="C114" i="30"/>
  <c r="C135" i="30" s="1"/>
  <c r="I113" i="30"/>
  <c r="I134" i="30" s="1"/>
  <c r="H113" i="30"/>
  <c r="H134" i="30" s="1"/>
  <c r="G113" i="30"/>
  <c r="G134" i="30" s="1"/>
  <c r="F113" i="30"/>
  <c r="F134" i="30" s="1"/>
  <c r="E113" i="30"/>
  <c r="E134" i="30" s="1"/>
  <c r="D113" i="30"/>
  <c r="D134" i="30" s="1"/>
  <c r="C113" i="30"/>
  <c r="C134" i="30" s="1"/>
  <c r="I112" i="30"/>
  <c r="I133" i="30" s="1"/>
  <c r="H112" i="30"/>
  <c r="H133" i="30" s="1"/>
  <c r="G112" i="30"/>
  <c r="G133" i="30" s="1"/>
  <c r="F112" i="30"/>
  <c r="F133" i="30" s="1"/>
  <c r="E112" i="30"/>
  <c r="E133" i="30" s="1"/>
  <c r="D112" i="30"/>
  <c r="D133" i="30" s="1"/>
  <c r="C112" i="30"/>
  <c r="C133" i="30" s="1"/>
  <c r="I111" i="30"/>
  <c r="I132" i="30" s="1"/>
  <c r="H111" i="30"/>
  <c r="H132" i="30" s="1"/>
  <c r="G111" i="30"/>
  <c r="G132" i="30" s="1"/>
  <c r="F111" i="30"/>
  <c r="F132" i="30" s="1"/>
  <c r="E111" i="30"/>
  <c r="E132" i="30" s="1"/>
  <c r="D111" i="30"/>
  <c r="D132" i="30" s="1"/>
  <c r="C111" i="30"/>
  <c r="C132" i="30" s="1"/>
  <c r="I110" i="30"/>
  <c r="I131" i="30" s="1"/>
  <c r="H110" i="30"/>
  <c r="H131" i="30" s="1"/>
  <c r="G110" i="30"/>
  <c r="G131" i="30" s="1"/>
  <c r="F110" i="30"/>
  <c r="F131" i="30" s="1"/>
  <c r="E110" i="30"/>
  <c r="E131" i="30" s="1"/>
  <c r="D110" i="30"/>
  <c r="D131" i="30" s="1"/>
  <c r="C110" i="30"/>
  <c r="C131" i="30" s="1"/>
  <c r="I109" i="30"/>
  <c r="I130" i="30" s="1"/>
  <c r="H109" i="30"/>
  <c r="H130" i="30" s="1"/>
  <c r="G109" i="30"/>
  <c r="G130" i="30" s="1"/>
  <c r="F109" i="30"/>
  <c r="F130" i="30" s="1"/>
  <c r="E109" i="30"/>
  <c r="E130" i="30" s="1"/>
  <c r="D109" i="30"/>
  <c r="D130" i="30" s="1"/>
  <c r="C109" i="30"/>
  <c r="C130" i="30" s="1"/>
  <c r="I108" i="30"/>
  <c r="I129" i="30" s="1"/>
  <c r="H108" i="30"/>
  <c r="H129" i="30" s="1"/>
  <c r="G108" i="30"/>
  <c r="G129" i="30" s="1"/>
  <c r="F108" i="30"/>
  <c r="F129" i="30" s="1"/>
  <c r="E108" i="30"/>
  <c r="E129" i="30" s="1"/>
  <c r="D108" i="30"/>
  <c r="D129" i="30" s="1"/>
  <c r="C108" i="30"/>
  <c r="C129" i="30" s="1"/>
  <c r="I107" i="30"/>
  <c r="I128" i="30" s="1"/>
  <c r="H107" i="30"/>
  <c r="H128" i="30" s="1"/>
  <c r="G107" i="30"/>
  <c r="G128" i="30" s="1"/>
  <c r="F107" i="30"/>
  <c r="F128" i="30" s="1"/>
  <c r="E107" i="30"/>
  <c r="E128" i="30" s="1"/>
  <c r="D107" i="30"/>
  <c r="D128" i="30" s="1"/>
  <c r="C107" i="30"/>
  <c r="C128" i="30" s="1"/>
  <c r="I106" i="30"/>
  <c r="I127" i="30" s="1"/>
  <c r="H106" i="30"/>
  <c r="H127" i="30" s="1"/>
  <c r="G106" i="30"/>
  <c r="G127" i="30" s="1"/>
  <c r="F106" i="30"/>
  <c r="F127" i="30" s="1"/>
  <c r="E106" i="30"/>
  <c r="E127" i="30" s="1"/>
  <c r="D106" i="30"/>
  <c r="D127" i="30" s="1"/>
  <c r="C106" i="30"/>
  <c r="C127" i="30" s="1"/>
  <c r="I105" i="30"/>
  <c r="I126" i="30" s="1"/>
  <c r="H105" i="30"/>
  <c r="H126" i="30" s="1"/>
  <c r="G105" i="30"/>
  <c r="G126" i="30" s="1"/>
  <c r="F105" i="30"/>
  <c r="F126" i="30" s="1"/>
  <c r="E105" i="30"/>
  <c r="E126" i="30" s="1"/>
  <c r="D105" i="30"/>
  <c r="D126" i="30" s="1"/>
  <c r="C105" i="30"/>
  <c r="C126" i="30" s="1"/>
  <c r="I104" i="30"/>
  <c r="I125" i="30" s="1"/>
  <c r="H104" i="30"/>
  <c r="H125" i="30" s="1"/>
  <c r="G104" i="30"/>
  <c r="G125" i="30" s="1"/>
  <c r="F104" i="30"/>
  <c r="F125" i="30" s="1"/>
  <c r="E104" i="30"/>
  <c r="E125" i="30" s="1"/>
  <c r="D104" i="30"/>
  <c r="D125" i="30" s="1"/>
  <c r="C104" i="30"/>
  <c r="C125" i="30" s="1"/>
  <c r="I103" i="30"/>
  <c r="I124" i="30" s="1"/>
  <c r="H103" i="30"/>
  <c r="H124" i="30" s="1"/>
  <c r="G103" i="30"/>
  <c r="G124" i="30" s="1"/>
  <c r="F103" i="30"/>
  <c r="F124" i="30" s="1"/>
  <c r="E103" i="30"/>
  <c r="E124" i="30" s="1"/>
  <c r="D103" i="30"/>
  <c r="D124" i="30" s="1"/>
  <c r="C103" i="30"/>
  <c r="C124" i="30" s="1"/>
  <c r="I102" i="30"/>
  <c r="I123" i="30" s="1"/>
  <c r="H102" i="30"/>
  <c r="H123" i="30" s="1"/>
  <c r="G102" i="30"/>
  <c r="G123" i="30" s="1"/>
  <c r="F102" i="30"/>
  <c r="F123" i="30" s="1"/>
  <c r="E102" i="30"/>
  <c r="E123" i="30" s="1"/>
  <c r="D102" i="30"/>
  <c r="D123" i="30" s="1"/>
  <c r="C102" i="30"/>
  <c r="C123" i="30" s="1"/>
  <c r="I101" i="30"/>
  <c r="I122" i="30" s="1"/>
  <c r="H101" i="30"/>
  <c r="H122" i="30" s="1"/>
  <c r="G101" i="30"/>
  <c r="G122" i="30" s="1"/>
  <c r="F101" i="30"/>
  <c r="F122" i="30" s="1"/>
  <c r="E101" i="30"/>
  <c r="E122" i="30" s="1"/>
  <c r="D101" i="30"/>
  <c r="D122" i="30" s="1"/>
  <c r="B30" i="1"/>
  <c r="T22" i="31"/>
  <c r="D11" i="27" s="1"/>
  <c r="E9" i="27" s="1"/>
  <c r="J48" i="17"/>
  <c r="D40" i="19"/>
  <c r="D39" i="19"/>
  <c r="H23" i="19"/>
  <c r="G23" i="19"/>
  <c r="F23" i="19"/>
  <c r="E23" i="19"/>
  <c r="D23" i="19"/>
  <c r="H17" i="11"/>
  <c r="G17" i="11"/>
  <c r="F17" i="11"/>
  <c r="E17" i="11"/>
  <c r="D17" i="11"/>
  <c r="I18" i="29"/>
  <c r="H18" i="29"/>
  <c r="G18" i="29"/>
  <c r="F18" i="29"/>
  <c r="E18" i="29"/>
  <c r="E17" i="10"/>
  <c r="AA435" i="31" s="1"/>
  <c r="Y435" i="31" s="1"/>
  <c r="AC428" i="31"/>
  <c r="AC429" i="31" s="1"/>
  <c r="AC435" i="31" s="1"/>
  <c r="AB428" i="31"/>
  <c r="AB429" i="31" s="1"/>
  <c r="AB435" i="31" s="1"/>
  <c r="AA428" i="31"/>
  <c r="AA429" i="31" s="1"/>
  <c r="Z428" i="31"/>
  <c r="Z429" i="31" s="1"/>
  <c r="Z435" i="31" s="1"/>
  <c r="Y428" i="31"/>
  <c r="Y429" i="31" s="1"/>
  <c r="X428" i="31"/>
  <c r="X429" i="31" s="1"/>
  <c r="X435" i="31" s="1"/>
  <c r="W428" i="31"/>
  <c r="W429" i="31" s="1"/>
  <c r="W435" i="31" s="1"/>
  <c r="V428" i="31"/>
  <c r="V429" i="31" s="1"/>
  <c r="V435" i="31" s="1"/>
  <c r="U428" i="31"/>
  <c r="U429" i="31" s="1"/>
  <c r="U435" i="31" s="1"/>
  <c r="T428" i="31"/>
  <c r="T429" i="31" s="1"/>
  <c r="T435" i="31" s="1"/>
  <c r="AC422" i="31"/>
  <c r="AC423" i="31" s="1"/>
  <c r="AB422" i="31"/>
  <c r="AB423" i="31" s="1"/>
  <c r="AA422" i="31"/>
  <c r="AA423" i="31" s="1"/>
  <c r="Z422" i="31"/>
  <c r="Z423" i="31" s="1"/>
  <c r="Y422" i="31"/>
  <c r="Y423" i="31" s="1"/>
  <c r="X422" i="31"/>
  <c r="X423" i="31" s="1"/>
  <c r="W422" i="31"/>
  <c r="W423" i="31" s="1"/>
  <c r="V422" i="31"/>
  <c r="V423" i="31" s="1"/>
  <c r="U422" i="31"/>
  <c r="U423" i="31" s="1"/>
  <c r="T422" i="31"/>
  <c r="T423" i="31" s="1"/>
  <c r="AC414" i="31"/>
  <c r="AC415" i="31" s="1"/>
  <c r="AB414" i="31"/>
  <c r="AB415" i="31" s="1"/>
  <c r="AA414" i="31"/>
  <c r="AA415" i="31" s="1"/>
  <c r="Z414" i="31"/>
  <c r="Z415" i="31" s="1"/>
  <c r="Y414" i="31"/>
  <c r="Y415" i="31" s="1"/>
  <c r="X414" i="31"/>
  <c r="X415" i="31" s="1"/>
  <c r="W414" i="31"/>
  <c r="W415" i="31" s="1"/>
  <c r="V414" i="31"/>
  <c r="V415" i="31" s="1"/>
  <c r="U414" i="31"/>
  <c r="U415" i="31" s="1"/>
  <c r="T414" i="31"/>
  <c r="T415" i="31" s="1"/>
  <c r="AC404" i="31"/>
  <c r="AB404" i="31"/>
  <c r="AA404" i="31"/>
  <c r="Z404" i="31"/>
  <c r="Y404" i="31"/>
  <c r="X404" i="31"/>
  <c r="W404" i="31"/>
  <c r="V404" i="31"/>
  <c r="U404" i="31"/>
  <c r="T404" i="31"/>
  <c r="AC354" i="31"/>
  <c r="AB354" i="31"/>
  <c r="AA354" i="31"/>
  <c r="Z354" i="31"/>
  <c r="Y354" i="31"/>
  <c r="X354" i="31"/>
  <c r="H23" i="27" s="1"/>
  <c r="W354" i="31"/>
  <c r="G23" i="27" s="1"/>
  <c r="V354" i="31"/>
  <c r="F23" i="27" s="1"/>
  <c r="U354" i="31"/>
  <c r="E23" i="27" s="1"/>
  <c r="T354" i="31"/>
  <c r="D23" i="27" s="1"/>
  <c r="AC338" i="31"/>
  <c r="AB338" i="31"/>
  <c r="AA338" i="31"/>
  <c r="Z338" i="31"/>
  <c r="Y338" i="31"/>
  <c r="X338" i="31"/>
  <c r="H22" i="27" s="1"/>
  <c r="W338" i="31"/>
  <c r="G22" i="27" s="1"/>
  <c r="V338" i="31"/>
  <c r="F22" i="27" s="1"/>
  <c r="U338" i="31"/>
  <c r="E22" i="27" s="1"/>
  <c r="T338" i="31"/>
  <c r="D22" i="27" s="1"/>
  <c r="AC313" i="31"/>
  <c r="AB313" i="31"/>
  <c r="AA313" i="31"/>
  <c r="Z313" i="31"/>
  <c r="Y313" i="31"/>
  <c r="X313" i="31"/>
  <c r="H21" i="27" s="1"/>
  <c r="W313" i="31"/>
  <c r="G21" i="27" s="1"/>
  <c r="V313" i="31"/>
  <c r="F21" i="27" s="1"/>
  <c r="U313" i="31"/>
  <c r="E21" i="27" s="1"/>
  <c r="T313" i="31"/>
  <c r="D21" i="27" s="1"/>
  <c r="AC295" i="31"/>
  <c r="AB295" i="31"/>
  <c r="AA295" i="31"/>
  <c r="Z295" i="31"/>
  <c r="Y295" i="31"/>
  <c r="X295" i="31"/>
  <c r="H20" i="27" s="1"/>
  <c r="W295" i="31"/>
  <c r="G20" i="27" s="1"/>
  <c r="V295" i="31"/>
  <c r="F20" i="27" s="1"/>
  <c r="U295" i="31"/>
  <c r="E20" i="27" s="1"/>
  <c r="T295" i="31"/>
  <c r="D20" i="27" s="1"/>
  <c r="AC278" i="31"/>
  <c r="AB278" i="31"/>
  <c r="AA278" i="31"/>
  <c r="Z278" i="31"/>
  <c r="Y278" i="31"/>
  <c r="X278" i="31"/>
  <c r="H19" i="27" s="1"/>
  <c r="W278" i="31"/>
  <c r="G19" i="27" s="1"/>
  <c r="V278" i="31"/>
  <c r="F19" i="27" s="1"/>
  <c r="U278" i="31"/>
  <c r="E19" i="27" s="1"/>
  <c r="T278" i="31"/>
  <c r="D19" i="27" s="1"/>
  <c r="AC226" i="31"/>
  <c r="AB226" i="31"/>
  <c r="AA226" i="31"/>
  <c r="Z226" i="31"/>
  <c r="Y226" i="31"/>
  <c r="X226" i="31"/>
  <c r="H18" i="27" s="1"/>
  <c r="W226" i="31"/>
  <c r="G18" i="27" s="1"/>
  <c r="V226" i="31"/>
  <c r="F18" i="27" s="1"/>
  <c r="U226" i="31"/>
  <c r="E18" i="27" s="1"/>
  <c r="T226" i="31"/>
  <c r="D18" i="27" s="1"/>
  <c r="AC168" i="31"/>
  <c r="AB168" i="31"/>
  <c r="AA168" i="31"/>
  <c r="Z168" i="31"/>
  <c r="Y168" i="31"/>
  <c r="X168" i="31"/>
  <c r="H17" i="27" s="1"/>
  <c r="W168" i="31"/>
  <c r="G17" i="27" s="1"/>
  <c r="V168" i="31"/>
  <c r="F17" i="27" s="1"/>
  <c r="U168" i="31"/>
  <c r="E17" i="27" s="1"/>
  <c r="T168" i="31"/>
  <c r="D17" i="27" s="1"/>
  <c r="AC143" i="31"/>
  <c r="AB143" i="31"/>
  <c r="AA143" i="31"/>
  <c r="Z143" i="31"/>
  <c r="Y143" i="31"/>
  <c r="X143" i="31"/>
  <c r="H16" i="27" s="1"/>
  <c r="W143" i="31"/>
  <c r="G16" i="27" s="1"/>
  <c r="V143" i="31"/>
  <c r="F16" i="27" s="1"/>
  <c r="U143" i="31"/>
  <c r="E16" i="27" s="1"/>
  <c r="T143" i="31"/>
  <c r="D16" i="27" s="1"/>
  <c r="AC127" i="31"/>
  <c r="AB127" i="31"/>
  <c r="AA127" i="31"/>
  <c r="Z127" i="31"/>
  <c r="Y127" i="31"/>
  <c r="X127" i="31"/>
  <c r="H15" i="27" s="1"/>
  <c r="W127" i="31"/>
  <c r="G15" i="27" s="1"/>
  <c r="V127" i="31"/>
  <c r="F15" i="27" s="1"/>
  <c r="U127" i="31"/>
  <c r="E15" i="27" s="1"/>
  <c r="T127" i="31"/>
  <c r="D15" i="27" s="1"/>
  <c r="AC112" i="31"/>
  <c r="AB112" i="31"/>
  <c r="AA112" i="31"/>
  <c r="Z112" i="31"/>
  <c r="Y112" i="31"/>
  <c r="X112" i="31"/>
  <c r="H14" i="27" s="1"/>
  <c r="W112" i="31"/>
  <c r="G14" i="27" s="1"/>
  <c r="V112" i="31"/>
  <c r="F14" i="27" s="1"/>
  <c r="U112" i="31"/>
  <c r="E14" i="27" s="1"/>
  <c r="T112" i="31"/>
  <c r="D14" i="27" s="1"/>
  <c r="AC97" i="31"/>
  <c r="AB97" i="31"/>
  <c r="AA97" i="31"/>
  <c r="Z97" i="31"/>
  <c r="Y97" i="31"/>
  <c r="X97" i="31"/>
  <c r="H13" i="27" s="1"/>
  <c r="W97" i="31"/>
  <c r="G13" i="27" s="1"/>
  <c r="V97" i="31"/>
  <c r="F13" i="27" s="1"/>
  <c r="U97" i="31"/>
  <c r="E13" i="27" s="1"/>
  <c r="T97" i="31"/>
  <c r="D13" i="27" s="1"/>
  <c r="AC82" i="31"/>
  <c r="AB82" i="31"/>
  <c r="AA82" i="31"/>
  <c r="Z82" i="31"/>
  <c r="Y82" i="31"/>
  <c r="X82" i="31"/>
  <c r="H12" i="27" s="1"/>
  <c r="W82" i="31"/>
  <c r="G12" i="27" s="1"/>
  <c r="V82" i="31"/>
  <c r="F12" i="27" s="1"/>
  <c r="U82" i="31"/>
  <c r="E12" i="27" s="1"/>
  <c r="D12" i="27"/>
  <c r="AC22" i="31"/>
  <c r="AB22" i="31"/>
  <c r="AA22" i="31"/>
  <c r="Z22" i="31"/>
  <c r="Y22" i="31"/>
  <c r="X22" i="31"/>
  <c r="H11" i="27" s="1"/>
  <c r="W22" i="31"/>
  <c r="G11" i="27" s="1"/>
  <c r="H9" i="27" s="1"/>
  <c r="V22" i="31"/>
  <c r="F11" i="27" s="1"/>
  <c r="G9" i="27" s="1"/>
  <c r="U22" i="31"/>
  <c r="H52" i="27"/>
  <c r="H53" i="27" s="1"/>
  <c r="G52" i="27"/>
  <c r="G53" i="27" s="1"/>
  <c r="F52" i="27"/>
  <c r="F53" i="27" s="1"/>
  <c r="E52" i="27"/>
  <c r="E53" i="27" s="1"/>
  <c r="D52" i="27"/>
  <c r="D53" i="27" s="1"/>
  <c r="H42" i="27"/>
  <c r="G42" i="27"/>
  <c r="F42" i="27"/>
  <c r="E42" i="27"/>
  <c r="D42" i="27"/>
  <c r="B42" i="27"/>
  <c r="H41" i="27"/>
  <c r="G41" i="27"/>
  <c r="F41" i="27"/>
  <c r="E41" i="27"/>
  <c r="D41" i="27"/>
  <c r="B41" i="27"/>
  <c r="H40" i="27"/>
  <c r="G40" i="27"/>
  <c r="F40" i="27"/>
  <c r="E40" i="27"/>
  <c r="D40" i="27"/>
  <c r="B40" i="27"/>
  <c r="H39" i="27"/>
  <c r="G39" i="27"/>
  <c r="F39" i="27"/>
  <c r="E39" i="27"/>
  <c r="D39" i="27"/>
  <c r="B39" i="27"/>
  <c r="H38" i="27"/>
  <c r="G38" i="27"/>
  <c r="F38" i="27"/>
  <c r="E38" i="27"/>
  <c r="D38" i="27"/>
  <c r="B38" i="27"/>
  <c r="H37" i="27"/>
  <c r="G37" i="27"/>
  <c r="F37" i="27"/>
  <c r="E37" i="27"/>
  <c r="D37" i="27"/>
  <c r="B37" i="27"/>
  <c r="H36" i="27"/>
  <c r="G36" i="27"/>
  <c r="F36" i="27"/>
  <c r="E36" i="27"/>
  <c r="D36" i="27"/>
  <c r="B36" i="27"/>
  <c r="H35" i="27"/>
  <c r="G35" i="27"/>
  <c r="F35" i="27"/>
  <c r="E35" i="27"/>
  <c r="D35" i="27"/>
  <c r="B35" i="27"/>
  <c r="H34" i="27"/>
  <c r="G34" i="27"/>
  <c r="F34" i="27"/>
  <c r="E34" i="27"/>
  <c r="D34" i="27"/>
  <c r="B34" i="27"/>
  <c r="H33" i="27"/>
  <c r="G33" i="27"/>
  <c r="F33" i="27"/>
  <c r="E33" i="27"/>
  <c r="D33" i="27"/>
  <c r="B33" i="27"/>
  <c r="H32" i="27"/>
  <c r="G32" i="27"/>
  <c r="F32" i="27"/>
  <c r="E32" i="27"/>
  <c r="D32" i="27"/>
  <c r="B32" i="27"/>
  <c r="H31" i="27"/>
  <c r="G31" i="27"/>
  <c r="F31" i="27"/>
  <c r="E31" i="27"/>
  <c r="D31" i="27"/>
  <c r="B31" i="27"/>
  <c r="H30" i="27"/>
  <c r="G30" i="27"/>
  <c r="F30" i="27"/>
  <c r="E30" i="27"/>
  <c r="D30" i="27"/>
  <c r="B30" i="27"/>
  <c r="H29" i="27"/>
  <c r="G29" i="27"/>
  <c r="F29" i="27"/>
  <c r="E29" i="27"/>
  <c r="D29" i="27"/>
  <c r="B29" i="27"/>
  <c r="H28" i="27"/>
  <c r="G28" i="27"/>
  <c r="F28" i="27"/>
  <c r="E28" i="27"/>
  <c r="D28" i="27"/>
  <c r="B28" i="27"/>
  <c r="H27" i="27"/>
  <c r="G27" i="27"/>
  <c r="F27" i="27"/>
  <c r="E27" i="27"/>
  <c r="D27" i="27"/>
  <c r="B27" i="27"/>
  <c r="V671" i="30"/>
  <c r="U671" i="30"/>
  <c r="T671" i="30"/>
  <c r="S671" i="30"/>
  <c r="R671" i="30"/>
  <c r="Q671" i="30"/>
  <c r="P671" i="30"/>
  <c r="O671" i="30"/>
  <c r="N671" i="30"/>
  <c r="M671" i="30"/>
  <c r="V627" i="30"/>
  <c r="U627" i="30"/>
  <c r="T627" i="30"/>
  <c r="S627" i="30"/>
  <c r="R627" i="30"/>
  <c r="Q627" i="30"/>
  <c r="P627" i="30"/>
  <c r="O627" i="30"/>
  <c r="N627" i="30"/>
  <c r="V616" i="30"/>
  <c r="V623" i="30" s="1"/>
  <c r="U616" i="30"/>
  <c r="U623" i="30" s="1"/>
  <c r="T616" i="30"/>
  <c r="T623" i="30" s="1"/>
  <c r="S616" i="30"/>
  <c r="S623" i="30" s="1"/>
  <c r="R616" i="30"/>
  <c r="R623" i="30" s="1"/>
  <c r="Q616" i="30"/>
  <c r="Q623" i="30" s="1"/>
  <c r="P616" i="30"/>
  <c r="P623" i="30" s="1"/>
  <c r="O616" i="30"/>
  <c r="F47" i="17" s="1"/>
  <c r="N616" i="30"/>
  <c r="N623" i="30" s="1"/>
  <c r="M616" i="30"/>
  <c r="M623" i="30" s="1"/>
  <c r="V593" i="30"/>
  <c r="U593" i="30"/>
  <c r="T593" i="30"/>
  <c r="S593" i="30"/>
  <c r="R593" i="30"/>
  <c r="Q593" i="30"/>
  <c r="P593" i="30"/>
  <c r="O593" i="30"/>
  <c r="N593" i="30"/>
  <c r="M593" i="30"/>
  <c r="X578" i="30"/>
  <c r="X579" i="30" s="1"/>
  <c r="X584" i="30" s="1"/>
  <c r="X588" i="30" s="1"/>
  <c r="X549" i="30"/>
  <c r="X548" i="30"/>
  <c r="X547" i="30"/>
  <c r="V540" i="30"/>
  <c r="U540" i="30"/>
  <c r="T540" i="30"/>
  <c r="S540" i="30"/>
  <c r="R540" i="30"/>
  <c r="Q540" i="30"/>
  <c r="P540" i="30"/>
  <c r="O540" i="30"/>
  <c r="N540" i="30"/>
  <c r="M540" i="30"/>
  <c r="I538" i="30"/>
  <c r="H538" i="30"/>
  <c r="G538" i="30"/>
  <c r="F538" i="30"/>
  <c r="E538" i="30"/>
  <c r="D538" i="30"/>
  <c r="C538" i="30"/>
  <c r="I537" i="30"/>
  <c r="H537" i="30"/>
  <c r="G537" i="30"/>
  <c r="F537" i="30"/>
  <c r="E537" i="30"/>
  <c r="D537" i="30"/>
  <c r="C537" i="30"/>
  <c r="I536" i="30"/>
  <c r="H536" i="30"/>
  <c r="G536" i="30"/>
  <c r="F536" i="30"/>
  <c r="E536" i="30"/>
  <c r="D536" i="30"/>
  <c r="C536" i="30"/>
  <c r="I535" i="30"/>
  <c r="H535" i="30"/>
  <c r="G535" i="30"/>
  <c r="F535" i="30"/>
  <c r="E535" i="30"/>
  <c r="D535" i="30"/>
  <c r="C535" i="30"/>
  <c r="V530" i="30"/>
  <c r="U530" i="30"/>
  <c r="T530" i="30"/>
  <c r="S530" i="30"/>
  <c r="R530" i="30"/>
  <c r="Q530" i="30"/>
  <c r="P530" i="30"/>
  <c r="O530" i="30"/>
  <c r="N530" i="30"/>
  <c r="M530" i="30"/>
  <c r="I528" i="30"/>
  <c r="H528" i="30"/>
  <c r="G528" i="30"/>
  <c r="F528" i="30"/>
  <c r="E528" i="30"/>
  <c r="D528" i="30"/>
  <c r="C528" i="30"/>
  <c r="I527" i="30"/>
  <c r="H527" i="30"/>
  <c r="G527" i="30"/>
  <c r="F527" i="30"/>
  <c r="E527" i="30"/>
  <c r="D527" i="30"/>
  <c r="C527" i="30"/>
  <c r="I526" i="30"/>
  <c r="H526" i="30"/>
  <c r="G526" i="30"/>
  <c r="F526" i="30"/>
  <c r="E526" i="30"/>
  <c r="D526" i="30"/>
  <c r="C526" i="30"/>
  <c r="C525" i="30"/>
  <c r="V518" i="30"/>
  <c r="U518" i="30"/>
  <c r="T518" i="30"/>
  <c r="S518" i="30"/>
  <c r="R518" i="30"/>
  <c r="Q518" i="30"/>
  <c r="P518" i="30"/>
  <c r="O518" i="30"/>
  <c r="N518" i="30"/>
  <c r="M518" i="30"/>
  <c r="I504" i="30"/>
  <c r="H504" i="30"/>
  <c r="G504" i="30"/>
  <c r="F504" i="30"/>
  <c r="D504" i="30"/>
  <c r="C504" i="30"/>
  <c r="V498" i="30"/>
  <c r="U498" i="30"/>
  <c r="T498" i="30"/>
  <c r="S498" i="30"/>
  <c r="R498" i="30"/>
  <c r="Q498" i="30"/>
  <c r="P498" i="30"/>
  <c r="O498" i="30"/>
  <c r="N498" i="30"/>
  <c r="M498" i="30"/>
  <c r="C484" i="30"/>
  <c r="V477" i="30"/>
  <c r="U477" i="30"/>
  <c r="T477" i="30"/>
  <c r="S477" i="30"/>
  <c r="R477" i="30"/>
  <c r="Q477" i="30"/>
  <c r="P477" i="30"/>
  <c r="O477" i="30"/>
  <c r="N477" i="30"/>
  <c r="M477" i="30"/>
  <c r="I475" i="30"/>
  <c r="H475" i="30"/>
  <c r="G475" i="30"/>
  <c r="F475" i="30"/>
  <c r="E475" i="30"/>
  <c r="D475" i="30"/>
  <c r="C475" i="30"/>
  <c r="I474" i="30"/>
  <c r="H474" i="30"/>
  <c r="G474" i="30"/>
  <c r="F474" i="30"/>
  <c r="E474" i="30"/>
  <c r="D474" i="30"/>
  <c r="C474" i="30"/>
  <c r="I473" i="30"/>
  <c r="H473" i="30"/>
  <c r="G473" i="30"/>
  <c r="F473" i="30"/>
  <c r="E473" i="30"/>
  <c r="D473" i="30"/>
  <c r="C473" i="30"/>
  <c r="I472" i="30"/>
  <c r="H472" i="30"/>
  <c r="G472" i="30"/>
  <c r="F472" i="30"/>
  <c r="E472" i="30"/>
  <c r="D472" i="30"/>
  <c r="C472" i="30"/>
  <c r="V466" i="30"/>
  <c r="U466" i="30"/>
  <c r="T466" i="30"/>
  <c r="S466" i="30"/>
  <c r="R466" i="30"/>
  <c r="Q466" i="30"/>
  <c r="P466" i="30"/>
  <c r="O466" i="30"/>
  <c r="N466" i="30"/>
  <c r="M466" i="30"/>
  <c r="E464" i="30"/>
  <c r="D464" i="30"/>
  <c r="C464" i="30"/>
  <c r="E463" i="30"/>
  <c r="D463" i="30"/>
  <c r="C463" i="30"/>
  <c r="E462" i="30"/>
  <c r="D462" i="30"/>
  <c r="C462" i="30"/>
  <c r="E461" i="30"/>
  <c r="D461" i="30"/>
  <c r="C461" i="30"/>
  <c r="V453" i="30"/>
  <c r="U453" i="30"/>
  <c r="T453" i="30"/>
  <c r="S453" i="30"/>
  <c r="R453" i="30"/>
  <c r="Q453" i="30"/>
  <c r="P453" i="30"/>
  <c r="O453" i="30"/>
  <c r="N453" i="30"/>
  <c r="M453" i="30"/>
  <c r="I451" i="30"/>
  <c r="H451" i="30"/>
  <c r="G451" i="30"/>
  <c r="F451" i="30"/>
  <c r="E451" i="30"/>
  <c r="D451" i="30"/>
  <c r="C451" i="30"/>
  <c r="I450" i="30"/>
  <c r="H450" i="30"/>
  <c r="G450" i="30"/>
  <c r="F450" i="30"/>
  <c r="E450" i="30"/>
  <c r="D450" i="30"/>
  <c r="C450" i="30"/>
  <c r="I449" i="30"/>
  <c r="H449" i="30"/>
  <c r="G449" i="30"/>
  <c r="F449" i="30"/>
  <c r="E449" i="30"/>
  <c r="D449" i="30"/>
  <c r="C449" i="30"/>
  <c r="I448" i="30"/>
  <c r="H448" i="30"/>
  <c r="G448" i="30"/>
  <c r="F448" i="30"/>
  <c r="E448" i="30"/>
  <c r="D448" i="30"/>
  <c r="C448" i="30"/>
  <c r="V442" i="30"/>
  <c r="U442" i="30"/>
  <c r="T442" i="30"/>
  <c r="S442" i="30"/>
  <c r="R442" i="30"/>
  <c r="Q442" i="30"/>
  <c r="P442" i="30"/>
  <c r="O442" i="30"/>
  <c r="N442" i="30"/>
  <c r="M442" i="30"/>
  <c r="E440" i="30"/>
  <c r="D440" i="30"/>
  <c r="C440" i="30"/>
  <c r="E439" i="30"/>
  <c r="D439" i="30"/>
  <c r="C439" i="30"/>
  <c r="E438" i="30"/>
  <c r="D438" i="30"/>
  <c r="C438" i="30"/>
  <c r="E437" i="30"/>
  <c r="D437" i="30"/>
  <c r="C437" i="30"/>
  <c r="V429" i="30"/>
  <c r="U429" i="30"/>
  <c r="T429" i="30"/>
  <c r="S429" i="30"/>
  <c r="R429" i="30"/>
  <c r="Q429" i="30"/>
  <c r="P429" i="30"/>
  <c r="O429" i="30"/>
  <c r="N429" i="30"/>
  <c r="M429" i="30"/>
  <c r="I427" i="30"/>
  <c r="H427" i="30"/>
  <c r="G427" i="30"/>
  <c r="F427" i="30"/>
  <c r="E427" i="30"/>
  <c r="D427" i="30"/>
  <c r="C427" i="30"/>
  <c r="I426" i="30"/>
  <c r="H426" i="30"/>
  <c r="G426" i="30"/>
  <c r="F426" i="30"/>
  <c r="E426" i="30"/>
  <c r="D426" i="30"/>
  <c r="C426" i="30"/>
  <c r="I425" i="30"/>
  <c r="H425" i="30"/>
  <c r="G425" i="30"/>
  <c r="F425" i="30"/>
  <c r="E425" i="30"/>
  <c r="D425" i="30"/>
  <c r="C425" i="30"/>
  <c r="V419" i="30"/>
  <c r="U419" i="30"/>
  <c r="T419" i="30"/>
  <c r="S419" i="30"/>
  <c r="R419" i="30"/>
  <c r="Q419" i="30"/>
  <c r="P419" i="30"/>
  <c r="O419" i="30"/>
  <c r="N419" i="30"/>
  <c r="M419" i="30"/>
  <c r="E414" i="30"/>
  <c r="D414" i="30"/>
  <c r="C414" i="30"/>
  <c r="V406" i="30"/>
  <c r="U406" i="30"/>
  <c r="T406" i="30"/>
  <c r="S406" i="30"/>
  <c r="R406" i="30"/>
  <c r="Q406" i="30"/>
  <c r="P406" i="30"/>
  <c r="O406" i="30"/>
  <c r="N406" i="30"/>
  <c r="M406" i="30"/>
  <c r="C370" i="30"/>
  <c r="V364" i="30"/>
  <c r="U364" i="30"/>
  <c r="T364" i="30"/>
  <c r="S364" i="30"/>
  <c r="R364" i="30"/>
  <c r="Q364" i="30"/>
  <c r="P364" i="30"/>
  <c r="O364" i="30"/>
  <c r="N364" i="30"/>
  <c r="M364" i="30"/>
  <c r="C328" i="30"/>
  <c r="V320" i="30"/>
  <c r="U320" i="30"/>
  <c r="T320" i="30"/>
  <c r="S320" i="30"/>
  <c r="R320" i="30"/>
  <c r="Q320" i="30"/>
  <c r="P320" i="30"/>
  <c r="O320" i="30"/>
  <c r="N320" i="30"/>
  <c r="M320" i="30"/>
  <c r="E301" i="30"/>
  <c r="D301" i="30"/>
  <c r="C301" i="30"/>
  <c r="V295" i="30"/>
  <c r="U295" i="30"/>
  <c r="T295" i="30"/>
  <c r="S295" i="30"/>
  <c r="R295" i="30"/>
  <c r="Q295" i="30"/>
  <c r="P295" i="30"/>
  <c r="O295" i="30"/>
  <c r="N295" i="30"/>
  <c r="M295" i="30"/>
  <c r="E276" i="30"/>
  <c r="D276" i="30"/>
  <c r="C276" i="30"/>
  <c r="V268" i="30"/>
  <c r="U268" i="30"/>
  <c r="T268" i="30"/>
  <c r="S268" i="30"/>
  <c r="R268" i="30"/>
  <c r="Q268" i="30"/>
  <c r="P268" i="30"/>
  <c r="O268" i="30"/>
  <c r="N268" i="30"/>
  <c r="M268" i="30"/>
  <c r="C267" i="30"/>
  <c r="C266" i="30"/>
  <c r="C265" i="30"/>
  <c r="C264" i="30"/>
  <c r="C263" i="30"/>
  <c r="C262" i="30"/>
  <c r="C261" i="30"/>
  <c r="C260" i="30"/>
  <c r="C259" i="30"/>
  <c r="V253" i="30"/>
  <c r="U253" i="30"/>
  <c r="T253" i="30"/>
  <c r="S253" i="30"/>
  <c r="R253" i="30"/>
  <c r="Q253" i="30"/>
  <c r="P253" i="30"/>
  <c r="O253" i="30"/>
  <c r="N253" i="30"/>
  <c r="M253" i="30"/>
  <c r="C252" i="30"/>
  <c r="C251" i="30"/>
  <c r="C250" i="30"/>
  <c r="C249" i="30"/>
  <c r="C248" i="30"/>
  <c r="C247" i="30"/>
  <c r="C246" i="30"/>
  <c r="C245" i="30"/>
  <c r="C244" i="30"/>
  <c r="V236" i="30"/>
  <c r="U236" i="30"/>
  <c r="T236" i="30"/>
  <c r="S236" i="30"/>
  <c r="R236" i="30"/>
  <c r="Q236" i="30"/>
  <c r="P236" i="30"/>
  <c r="O236" i="30"/>
  <c r="N236" i="30"/>
  <c r="M236" i="30"/>
  <c r="C235" i="30"/>
  <c r="C234" i="30"/>
  <c r="C233" i="30"/>
  <c r="C232" i="30"/>
  <c r="C231" i="30"/>
  <c r="C230" i="30"/>
  <c r="C229" i="30"/>
  <c r="C228" i="30"/>
  <c r="C227" i="30"/>
  <c r="V221" i="30"/>
  <c r="U221" i="30"/>
  <c r="T221" i="30"/>
  <c r="S221" i="30"/>
  <c r="R221" i="30"/>
  <c r="Q221" i="30"/>
  <c r="P221" i="30"/>
  <c r="O221" i="30"/>
  <c r="N221" i="30"/>
  <c r="M221" i="30"/>
  <c r="C220" i="30"/>
  <c r="C219" i="30"/>
  <c r="C218" i="30"/>
  <c r="C217" i="30"/>
  <c r="C216" i="30"/>
  <c r="C215" i="30"/>
  <c r="C214" i="30"/>
  <c r="C213" i="30"/>
  <c r="C212" i="30"/>
  <c r="V203" i="30"/>
  <c r="V656" i="30" s="1"/>
  <c r="V657" i="30" s="1"/>
  <c r="V662" i="30" s="1"/>
  <c r="V666" i="30" s="1"/>
  <c r="U203" i="30"/>
  <c r="U656" i="30" s="1"/>
  <c r="U657" i="30" s="1"/>
  <c r="U662" i="30" s="1"/>
  <c r="U666" i="30" s="1"/>
  <c r="T203" i="30"/>
  <c r="T656" i="30" s="1"/>
  <c r="T657" i="30" s="1"/>
  <c r="T662" i="30" s="1"/>
  <c r="T666" i="30" s="1"/>
  <c r="S203" i="30"/>
  <c r="S656" i="30" s="1"/>
  <c r="S657" i="30" s="1"/>
  <c r="S662" i="30" s="1"/>
  <c r="S666" i="30" s="1"/>
  <c r="R203" i="30"/>
  <c r="R656" i="30" s="1"/>
  <c r="R657" i="30" s="1"/>
  <c r="R662" i="30" s="1"/>
  <c r="R666" i="30" s="1"/>
  <c r="Q203" i="30"/>
  <c r="Q656" i="30" s="1"/>
  <c r="Q657" i="30" s="1"/>
  <c r="Q662" i="30" s="1"/>
  <c r="Q666" i="30" s="1"/>
  <c r="P203" i="30"/>
  <c r="P656" i="30" s="1"/>
  <c r="P657" i="30" s="1"/>
  <c r="P662" i="30" s="1"/>
  <c r="P666" i="30" s="1"/>
  <c r="O203" i="30"/>
  <c r="O656" i="30" s="1"/>
  <c r="O657" i="30" s="1"/>
  <c r="O662" i="30" s="1"/>
  <c r="O666" i="30" s="1"/>
  <c r="N203" i="30"/>
  <c r="N656" i="30" s="1"/>
  <c r="N657" i="30" s="1"/>
  <c r="N662" i="30" s="1"/>
  <c r="N666" i="30" s="1"/>
  <c r="M203" i="30"/>
  <c r="M656" i="30" s="1"/>
  <c r="M657" i="30" s="1"/>
  <c r="M662" i="30" s="1"/>
  <c r="M666" i="30" s="1"/>
  <c r="V188" i="30"/>
  <c r="V578" i="30" s="1"/>
  <c r="V579" i="30" s="1"/>
  <c r="V584" i="30" s="1"/>
  <c r="V588" i="30" s="1"/>
  <c r="U188" i="30"/>
  <c r="U578" i="30" s="1"/>
  <c r="U579" i="30" s="1"/>
  <c r="U584" i="30" s="1"/>
  <c r="U588" i="30" s="1"/>
  <c r="T188" i="30"/>
  <c r="T578" i="30" s="1"/>
  <c r="T579" i="30" s="1"/>
  <c r="T584" i="30" s="1"/>
  <c r="T588" i="30" s="1"/>
  <c r="S188" i="30"/>
  <c r="S578" i="30" s="1"/>
  <c r="S579" i="30" s="1"/>
  <c r="S584" i="30" s="1"/>
  <c r="S588" i="30" s="1"/>
  <c r="R188" i="30"/>
  <c r="R578" i="30" s="1"/>
  <c r="R579" i="30" s="1"/>
  <c r="R584" i="30" s="1"/>
  <c r="R588" i="30" s="1"/>
  <c r="Q188" i="30"/>
  <c r="Q578" i="30" s="1"/>
  <c r="Q579" i="30" s="1"/>
  <c r="Q584" i="30" s="1"/>
  <c r="Q588" i="30" s="1"/>
  <c r="P188" i="30"/>
  <c r="P578" i="30" s="1"/>
  <c r="P579" i="30" s="1"/>
  <c r="P584" i="30" s="1"/>
  <c r="P588" i="30" s="1"/>
  <c r="O188" i="30"/>
  <c r="O578" i="30" s="1"/>
  <c r="O579" i="30" s="1"/>
  <c r="O584" i="30" s="1"/>
  <c r="O588" i="30" s="1"/>
  <c r="N188" i="30"/>
  <c r="N578" i="30" s="1"/>
  <c r="N579" i="30" s="1"/>
  <c r="N584" i="30" s="1"/>
  <c r="N588" i="30" s="1"/>
  <c r="M188" i="30"/>
  <c r="M578" i="30" s="1"/>
  <c r="M579" i="30" s="1"/>
  <c r="M584" i="30" s="1"/>
  <c r="M588" i="30" s="1"/>
  <c r="I187" i="30"/>
  <c r="I202" i="30" s="1"/>
  <c r="H187" i="30"/>
  <c r="H202" i="30" s="1"/>
  <c r="G187" i="30"/>
  <c r="G202" i="30" s="1"/>
  <c r="F187" i="30"/>
  <c r="F202" i="30" s="1"/>
  <c r="E187" i="30"/>
  <c r="E202" i="30" s="1"/>
  <c r="D187" i="30"/>
  <c r="D202" i="30" s="1"/>
  <c r="C187" i="30"/>
  <c r="C202" i="30" s="1"/>
  <c r="I186" i="30"/>
  <c r="I201" i="30" s="1"/>
  <c r="H186" i="30"/>
  <c r="H201" i="30" s="1"/>
  <c r="G186" i="30"/>
  <c r="G201" i="30" s="1"/>
  <c r="F186" i="30"/>
  <c r="F201" i="30" s="1"/>
  <c r="E186" i="30"/>
  <c r="E201" i="30" s="1"/>
  <c r="D186" i="30"/>
  <c r="D201" i="30" s="1"/>
  <c r="C186" i="30"/>
  <c r="C201" i="30" s="1"/>
  <c r="I185" i="30"/>
  <c r="I200" i="30" s="1"/>
  <c r="H185" i="30"/>
  <c r="H200" i="30" s="1"/>
  <c r="G185" i="30"/>
  <c r="G200" i="30" s="1"/>
  <c r="F185" i="30"/>
  <c r="F200" i="30" s="1"/>
  <c r="E185" i="30"/>
  <c r="E200" i="30" s="1"/>
  <c r="D185" i="30"/>
  <c r="D200" i="30" s="1"/>
  <c r="C185" i="30"/>
  <c r="C200" i="30" s="1"/>
  <c r="I184" i="30"/>
  <c r="I199" i="30" s="1"/>
  <c r="H184" i="30"/>
  <c r="H199" i="30" s="1"/>
  <c r="G184" i="30"/>
  <c r="G199" i="30" s="1"/>
  <c r="F184" i="30"/>
  <c r="F199" i="30" s="1"/>
  <c r="E184" i="30"/>
  <c r="E199" i="30" s="1"/>
  <c r="D184" i="30"/>
  <c r="D199" i="30" s="1"/>
  <c r="C184" i="30"/>
  <c r="C199" i="30" s="1"/>
  <c r="I183" i="30"/>
  <c r="I198" i="30" s="1"/>
  <c r="H183" i="30"/>
  <c r="H198" i="30" s="1"/>
  <c r="G183" i="30"/>
  <c r="G198" i="30" s="1"/>
  <c r="F183" i="30"/>
  <c r="F198" i="30" s="1"/>
  <c r="E183" i="30"/>
  <c r="E198" i="30" s="1"/>
  <c r="D183" i="30"/>
  <c r="D198" i="30" s="1"/>
  <c r="C183" i="30"/>
  <c r="C198" i="30" s="1"/>
  <c r="I182" i="30"/>
  <c r="I197" i="30" s="1"/>
  <c r="H182" i="30"/>
  <c r="H197" i="30" s="1"/>
  <c r="G182" i="30"/>
  <c r="G197" i="30" s="1"/>
  <c r="F182" i="30"/>
  <c r="F197" i="30" s="1"/>
  <c r="E182" i="30"/>
  <c r="E197" i="30" s="1"/>
  <c r="D182" i="30"/>
  <c r="D197" i="30" s="1"/>
  <c r="C182" i="30"/>
  <c r="C197" i="30" s="1"/>
  <c r="I181" i="30"/>
  <c r="I196" i="30" s="1"/>
  <c r="H181" i="30"/>
  <c r="H196" i="30" s="1"/>
  <c r="G181" i="30"/>
  <c r="G196" i="30" s="1"/>
  <c r="F181" i="30"/>
  <c r="F196" i="30" s="1"/>
  <c r="E181" i="30"/>
  <c r="E196" i="30" s="1"/>
  <c r="D181" i="30"/>
  <c r="D196" i="30" s="1"/>
  <c r="C181" i="30"/>
  <c r="C196" i="30" s="1"/>
  <c r="I180" i="30"/>
  <c r="I195" i="30" s="1"/>
  <c r="H180" i="30"/>
  <c r="H195" i="30" s="1"/>
  <c r="G180" i="30"/>
  <c r="G195" i="30" s="1"/>
  <c r="F180" i="30"/>
  <c r="F195" i="30" s="1"/>
  <c r="E180" i="30"/>
  <c r="E195" i="30" s="1"/>
  <c r="D180" i="30"/>
  <c r="D195" i="30" s="1"/>
  <c r="C180" i="30"/>
  <c r="C195" i="30" s="1"/>
  <c r="I179" i="30"/>
  <c r="I194" i="30" s="1"/>
  <c r="H179" i="30"/>
  <c r="H194" i="30" s="1"/>
  <c r="G179" i="30"/>
  <c r="G194" i="30" s="1"/>
  <c r="F179" i="30"/>
  <c r="F194" i="30" s="1"/>
  <c r="E179" i="30"/>
  <c r="E194" i="30" s="1"/>
  <c r="D179" i="30"/>
  <c r="D194" i="30" s="1"/>
  <c r="C179" i="30"/>
  <c r="C194" i="30" s="1"/>
  <c r="I178" i="30"/>
  <c r="I193" i="30" s="1"/>
  <c r="H178" i="30"/>
  <c r="H193" i="30" s="1"/>
  <c r="G178" i="30"/>
  <c r="G193" i="30" s="1"/>
  <c r="F178" i="30"/>
  <c r="F193" i="30" s="1"/>
  <c r="E178" i="30"/>
  <c r="E193" i="30" s="1"/>
  <c r="D178" i="30"/>
  <c r="D193" i="30" s="1"/>
  <c r="C178" i="30"/>
  <c r="C193" i="30" s="1"/>
  <c r="I177" i="30"/>
  <c r="I192" i="30" s="1"/>
  <c r="H177" i="30"/>
  <c r="H192" i="30" s="1"/>
  <c r="G177" i="30"/>
  <c r="G192" i="30" s="1"/>
  <c r="F177" i="30"/>
  <c r="F192" i="30" s="1"/>
  <c r="E177" i="30"/>
  <c r="E192" i="30" s="1"/>
  <c r="D177" i="30"/>
  <c r="D192" i="30" s="1"/>
  <c r="C177" i="30"/>
  <c r="C192" i="30" s="1"/>
  <c r="V170" i="30"/>
  <c r="V641" i="30" s="1"/>
  <c r="U170" i="30"/>
  <c r="U641" i="30" s="1"/>
  <c r="T170" i="30"/>
  <c r="T641" i="30" s="1"/>
  <c r="S170" i="30"/>
  <c r="S641" i="30" s="1"/>
  <c r="R170" i="30"/>
  <c r="R641" i="30" s="1"/>
  <c r="Q170" i="30"/>
  <c r="Q641" i="30" s="1"/>
  <c r="P170" i="30"/>
  <c r="P641" i="30" s="1"/>
  <c r="O170" i="30"/>
  <c r="O641" i="30" s="1"/>
  <c r="N170" i="30"/>
  <c r="N641" i="30" s="1"/>
  <c r="M170" i="30"/>
  <c r="M641" i="30" s="1"/>
  <c r="V155" i="30"/>
  <c r="V549" i="30" s="1"/>
  <c r="U155" i="30"/>
  <c r="U549" i="30" s="1"/>
  <c r="T155" i="30"/>
  <c r="T549" i="30" s="1"/>
  <c r="S155" i="30"/>
  <c r="S549" i="30" s="1"/>
  <c r="R155" i="30"/>
  <c r="R549" i="30" s="1"/>
  <c r="Q155" i="30"/>
  <c r="Q549" i="30" s="1"/>
  <c r="P155" i="30"/>
  <c r="P549" i="30" s="1"/>
  <c r="O155" i="30"/>
  <c r="O549" i="30" s="1"/>
  <c r="N155" i="30"/>
  <c r="N549" i="30" s="1"/>
  <c r="M155" i="30"/>
  <c r="M549" i="30" s="1"/>
  <c r="I154" i="30"/>
  <c r="I169" i="30" s="1"/>
  <c r="H154" i="30"/>
  <c r="H169" i="30" s="1"/>
  <c r="G154" i="30"/>
  <c r="G169" i="30" s="1"/>
  <c r="F154" i="30"/>
  <c r="F169" i="30" s="1"/>
  <c r="E154" i="30"/>
  <c r="E169" i="30" s="1"/>
  <c r="D154" i="30"/>
  <c r="D169" i="30" s="1"/>
  <c r="C154" i="30"/>
  <c r="C169" i="30" s="1"/>
  <c r="I153" i="30"/>
  <c r="I168" i="30" s="1"/>
  <c r="H153" i="30"/>
  <c r="H168" i="30" s="1"/>
  <c r="G153" i="30"/>
  <c r="G168" i="30" s="1"/>
  <c r="F153" i="30"/>
  <c r="F168" i="30" s="1"/>
  <c r="E153" i="30"/>
  <c r="E168" i="30" s="1"/>
  <c r="D153" i="30"/>
  <c r="D168" i="30" s="1"/>
  <c r="C153" i="30"/>
  <c r="C168" i="30" s="1"/>
  <c r="I152" i="30"/>
  <c r="I167" i="30" s="1"/>
  <c r="H152" i="30"/>
  <c r="H167" i="30" s="1"/>
  <c r="G152" i="30"/>
  <c r="G167" i="30" s="1"/>
  <c r="F152" i="30"/>
  <c r="F167" i="30" s="1"/>
  <c r="E152" i="30"/>
  <c r="E167" i="30" s="1"/>
  <c r="D152" i="30"/>
  <c r="D167" i="30" s="1"/>
  <c r="C152" i="30"/>
  <c r="C167" i="30" s="1"/>
  <c r="I151" i="30"/>
  <c r="I166" i="30" s="1"/>
  <c r="H151" i="30"/>
  <c r="H166" i="30" s="1"/>
  <c r="G151" i="30"/>
  <c r="G166" i="30" s="1"/>
  <c r="F151" i="30"/>
  <c r="F166" i="30" s="1"/>
  <c r="E151" i="30"/>
  <c r="E166" i="30" s="1"/>
  <c r="D151" i="30"/>
  <c r="D166" i="30" s="1"/>
  <c r="C151" i="30"/>
  <c r="C166" i="30" s="1"/>
  <c r="I150" i="30"/>
  <c r="I165" i="30" s="1"/>
  <c r="H150" i="30"/>
  <c r="H165" i="30" s="1"/>
  <c r="G150" i="30"/>
  <c r="G165" i="30" s="1"/>
  <c r="F150" i="30"/>
  <c r="F165" i="30" s="1"/>
  <c r="E150" i="30"/>
  <c r="E165" i="30" s="1"/>
  <c r="D150" i="30"/>
  <c r="D165" i="30" s="1"/>
  <c r="C150" i="30"/>
  <c r="C165" i="30" s="1"/>
  <c r="I149" i="30"/>
  <c r="I164" i="30" s="1"/>
  <c r="H149" i="30"/>
  <c r="H164" i="30" s="1"/>
  <c r="G149" i="30"/>
  <c r="G164" i="30" s="1"/>
  <c r="F149" i="30"/>
  <c r="F164" i="30" s="1"/>
  <c r="E149" i="30"/>
  <c r="E164" i="30" s="1"/>
  <c r="D149" i="30"/>
  <c r="D164" i="30" s="1"/>
  <c r="C149" i="30"/>
  <c r="C164" i="30" s="1"/>
  <c r="I148" i="30"/>
  <c r="I163" i="30" s="1"/>
  <c r="H148" i="30"/>
  <c r="H163" i="30" s="1"/>
  <c r="G148" i="30"/>
  <c r="G163" i="30" s="1"/>
  <c r="F148" i="30"/>
  <c r="F163" i="30" s="1"/>
  <c r="E148" i="30"/>
  <c r="E163" i="30" s="1"/>
  <c r="D148" i="30"/>
  <c r="D163" i="30" s="1"/>
  <c r="C148" i="30"/>
  <c r="C163" i="30" s="1"/>
  <c r="I147" i="30"/>
  <c r="I162" i="30" s="1"/>
  <c r="H147" i="30"/>
  <c r="H162" i="30" s="1"/>
  <c r="G147" i="30"/>
  <c r="G162" i="30" s="1"/>
  <c r="F147" i="30"/>
  <c r="F162" i="30" s="1"/>
  <c r="E147" i="30"/>
  <c r="E162" i="30" s="1"/>
  <c r="D147" i="30"/>
  <c r="D162" i="30" s="1"/>
  <c r="C147" i="30"/>
  <c r="C162" i="30" s="1"/>
  <c r="I146" i="30"/>
  <c r="I161" i="30" s="1"/>
  <c r="H146" i="30"/>
  <c r="H161" i="30" s="1"/>
  <c r="G146" i="30"/>
  <c r="G161" i="30" s="1"/>
  <c r="F146" i="30"/>
  <c r="F161" i="30" s="1"/>
  <c r="E146" i="30"/>
  <c r="E161" i="30" s="1"/>
  <c r="D146" i="30"/>
  <c r="D161" i="30" s="1"/>
  <c r="C146" i="30"/>
  <c r="C161" i="30" s="1"/>
  <c r="I145" i="30"/>
  <c r="I160" i="30" s="1"/>
  <c r="H145" i="30"/>
  <c r="H160" i="30" s="1"/>
  <c r="G145" i="30"/>
  <c r="G160" i="30" s="1"/>
  <c r="F145" i="30"/>
  <c r="F160" i="30" s="1"/>
  <c r="E145" i="30"/>
  <c r="E160" i="30" s="1"/>
  <c r="D145" i="30"/>
  <c r="D160" i="30" s="1"/>
  <c r="C145" i="30"/>
  <c r="C160" i="30" s="1"/>
  <c r="I144" i="30"/>
  <c r="I159" i="30" s="1"/>
  <c r="H144" i="30"/>
  <c r="H159" i="30" s="1"/>
  <c r="G144" i="30"/>
  <c r="G159" i="30" s="1"/>
  <c r="F144" i="30"/>
  <c r="F159" i="30" s="1"/>
  <c r="E144" i="30"/>
  <c r="E159" i="30" s="1"/>
  <c r="D144" i="30"/>
  <c r="D159" i="30" s="1"/>
  <c r="C144" i="30"/>
  <c r="C159" i="30" s="1"/>
  <c r="V137" i="30"/>
  <c r="V640" i="30" s="1"/>
  <c r="U137" i="30"/>
  <c r="U640" i="30" s="1"/>
  <c r="T137" i="30"/>
  <c r="T640" i="30" s="1"/>
  <c r="S137" i="30"/>
  <c r="S640" i="30" s="1"/>
  <c r="R137" i="30"/>
  <c r="R640" i="30" s="1"/>
  <c r="Q137" i="30"/>
  <c r="Q640" i="30" s="1"/>
  <c r="P137" i="30"/>
  <c r="P640" i="30" s="1"/>
  <c r="O137" i="30"/>
  <c r="O640" i="30" s="1"/>
  <c r="N137" i="30"/>
  <c r="N640" i="30" s="1"/>
  <c r="M137" i="30"/>
  <c r="M640" i="30" s="1"/>
  <c r="V116" i="30"/>
  <c r="V548" i="30" s="1"/>
  <c r="U116" i="30"/>
  <c r="U548" i="30" s="1"/>
  <c r="T116" i="30"/>
  <c r="T548" i="30" s="1"/>
  <c r="S116" i="30"/>
  <c r="S548" i="30" s="1"/>
  <c r="R116" i="30"/>
  <c r="R548" i="30" s="1"/>
  <c r="Q116" i="30"/>
  <c r="Q548" i="30" s="1"/>
  <c r="P116" i="30"/>
  <c r="P548" i="30" s="1"/>
  <c r="O116" i="30"/>
  <c r="O548" i="30" s="1"/>
  <c r="N116" i="30"/>
  <c r="N548" i="30" s="1"/>
  <c r="M116" i="30"/>
  <c r="M548" i="30" s="1"/>
  <c r="C101" i="30"/>
  <c r="C122" i="30" s="1"/>
  <c r="I100" i="30"/>
  <c r="I121" i="30" s="1"/>
  <c r="H100" i="30"/>
  <c r="H121" i="30" s="1"/>
  <c r="G100" i="30"/>
  <c r="G121" i="30" s="1"/>
  <c r="F100" i="30"/>
  <c r="F121" i="30" s="1"/>
  <c r="E100" i="30"/>
  <c r="E121" i="30" s="1"/>
  <c r="D100" i="30"/>
  <c r="D121" i="30" s="1"/>
  <c r="C100" i="30"/>
  <c r="C121" i="30" s="1"/>
  <c r="I99" i="30"/>
  <c r="I120" i="30" s="1"/>
  <c r="H99" i="30"/>
  <c r="H120" i="30" s="1"/>
  <c r="G99" i="30"/>
  <c r="G120" i="30" s="1"/>
  <c r="F99" i="30"/>
  <c r="F120" i="30" s="1"/>
  <c r="E99" i="30"/>
  <c r="E120" i="30" s="1"/>
  <c r="D99" i="30"/>
  <c r="D120" i="30" s="1"/>
  <c r="C99" i="30"/>
  <c r="C120" i="30" s="1"/>
  <c r="V93" i="30"/>
  <c r="V639" i="30" s="1"/>
  <c r="U93" i="30"/>
  <c r="U639" i="30" s="1"/>
  <c r="T93" i="30"/>
  <c r="T639" i="30" s="1"/>
  <c r="S93" i="30"/>
  <c r="S639" i="30" s="1"/>
  <c r="R93" i="30"/>
  <c r="R639" i="30" s="1"/>
  <c r="Q93" i="30"/>
  <c r="Q639" i="30" s="1"/>
  <c r="P93" i="30"/>
  <c r="P639" i="30" s="1"/>
  <c r="O93" i="30"/>
  <c r="O639" i="30" s="1"/>
  <c r="N93" i="30"/>
  <c r="N639" i="30" s="1"/>
  <c r="M93" i="30"/>
  <c r="M639" i="30" s="1"/>
  <c r="V53" i="30"/>
  <c r="V547" i="30" s="1"/>
  <c r="U53" i="30"/>
  <c r="U547" i="30" s="1"/>
  <c r="T53" i="30"/>
  <c r="T547" i="30" s="1"/>
  <c r="S53" i="30"/>
  <c r="S547" i="30" s="1"/>
  <c r="R53" i="30"/>
  <c r="R547" i="30" s="1"/>
  <c r="Q53" i="30"/>
  <c r="Q547" i="30" s="1"/>
  <c r="P53" i="30"/>
  <c r="P547" i="30" s="1"/>
  <c r="O53" i="30"/>
  <c r="O547" i="30" s="1"/>
  <c r="N53" i="30"/>
  <c r="N547" i="30" s="1"/>
  <c r="M53" i="30"/>
  <c r="M547" i="30" s="1"/>
  <c r="I19" i="30"/>
  <c r="I59" i="30" s="1"/>
  <c r="H19" i="30"/>
  <c r="H59" i="30" s="1"/>
  <c r="G19" i="30"/>
  <c r="G59" i="30" s="1"/>
  <c r="F19" i="30"/>
  <c r="F59" i="30" s="1"/>
  <c r="E19" i="30"/>
  <c r="E59" i="30" s="1"/>
  <c r="D19" i="30"/>
  <c r="D59" i="30" s="1"/>
  <c r="C19" i="30"/>
  <c r="C59" i="30" s="1"/>
  <c r="I18" i="30"/>
  <c r="I58" i="30" s="1"/>
  <c r="H18" i="30"/>
  <c r="H58" i="30" s="1"/>
  <c r="G18" i="30"/>
  <c r="G58" i="30" s="1"/>
  <c r="F18" i="30"/>
  <c r="F58" i="30" s="1"/>
  <c r="E18" i="30"/>
  <c r="E58" i="30" s="1"/>
  <c r="D18" i="30"/>
  <c r="D58" i="30" s="1"/>
  <c r="C18" i="30"/>
  <c r="C58" i="30" s="1"/>
  <c r="I17" i="30"/>
  <c r="I57" i="30" s="1"/>
  <c r="H17" i="30"/>
  <c r="H57" i="30" s="1"/>
  <c r="G17" i="30"/>
  <c r="G57" i="30" s="1"/>
  <c r="F17" i="30"/>
  <c r="F57" i="30" s="1"/>
  <c r="E17" i="30"/>
  <c r="E57" i="30" s="1"/>
  <c r="D17" i="30"/>
  <c r="D57" i="30" s="1"/>
  <c r="C17" i="30"/>
  <c r="C57" i="30" s="1"/>
  <c r="H54" i="17"/>
  <c r="G54" i="17"/>
  <c r="F54" i="17"/>
  <c r="E54" i="17"/>
  <c r="D54" i="17"/>
  <c r="B54" i="17"/>
  <c r="H53" i="17"/>
  <c r="G53" i="17"/>
  <c r="F53" i="17"/>
  <c r="E53" i="17"/>
  <c r="D53" i="17"/>
  <c r="B53" i="17"/>
  <c r="H52" i="17"/>
  <c r="G52" i="17"/>
  <c r="F52" i="17"/>
  <c r="E52" i="17"/>
  <c r="D52" i="17"/>
  <c r="B52" i="17"/>
  <c r="H51" i="17"/>
  <c r="G51" i="17"/>
  <c r="F51" i="17"/>
  <c r="E51" i="17"/>
  <c r="D51" i="17"/>
  <c r="B51" i="17"/>
  <c r="H50" i="17"/>
  <c r="G50" i="17"/>
  <c r="F50" i="17"/>
  <c r="E50" i="17"/>
  <c r="D50" i="17"/>
  <c r="B50" i="17"/>
  <c r="H49" i="17"/>
  <c r="G49" i="17"/>
  <c r="F49" i="17"/>
  <c r="E49" i="17"/>
  <c r="D49" i="17"/>
  <c r="B49" i="17"/>
  <c r="B47" i="17"/>
  <c r="H28" i="17"/>
  <c r="G28" i="17"/>
  <c r="F28" i="17"/>
  <c r="E28" i="17"/>
  <c r="D28" i="17"/>
  <c r="B28" i="17"/>
  <c r="H27" i="17"/>
  <c r="G27" i="17"/>
  <c r="F27" i="17"/>
  <c r="E27" i="17"/>
  <c r="D27" i="17"/>
  <c r="B27" i="17"/>
  <c r="H26" i="17"/>
  <c r="G26" i="17"/>
  <c r="F26" i="17"/>
  <c r="E26" i="17"/>
  <c r="D26" i="17"/>
  <c r="B26" i="17"/>
  <c r="H25" i="17"/>
  <c r="G25" i="17"/>
  <c r="F25" i="17"/>
  <c r="E25" i="17"/>
  <c r="D25" i="17"/>
  <c r="B25" i="17"/>
  <c r="H24" i="17"/>
  <c r="G24" i="17"/>
  <c r="F24" i="17"/>
  <c r="E24" i="17"/>
  <c r="D24" i="17"/>
  <c r="B24" i="17"/>
  <c r="H23" i="17"/>
  <c r="G23" i="17"/>
  <c r="F23" i="17"/>
  <c r="E23" i="17"/>
  <c r="D23" i="17"/>
  <c r="B23" i="17"/>
  <c r="H22" i="17"/>
  <c r="G22" i="17"/>
  <c r="F22" i="17"/>
  <c r="E22" i="17"/>
  <c r="D22" i="17"/>
  <c r="H21" i="17"/>
  <c r="G21" i="17"/>
  <c r="F21" i="17"/>
  <c r="E21" i="17"/>
  <c r="D21" i="17"/>
  <c r="H20" i="17"/>
  <c r="G20" i="17"/>
  <c r="F20" i="17"/>
  <c r="E20" i="17"/>
  <c r="D20" i="17"/>
  <c r="H19" i="17"/>
  <c r="G19" i="17"/>
  <c r="F19" i="17"/>
  <c r="E19" i="17"/>
  <c r="D19" i="17"/>
  <c r="B19" i="17"/>
  <c r="H18" i="17"/>
  <c r="G18" i="17"/>
  <c r="F18" i="17"/>
  <c r="E18" i="17"/>
  <c r="D18" i="17"/>
  <c r="B18" i="17"/>
  <c r="H17" i="17"/>
  <c r="G17" i="17"/>
  <c r="F17" i="17"/>
  <c r="E17" i="17"/>
  <c r="D17" i="17"/>
  <c r="B17" i="17"/>
  <c r="H16" i="17"/>
  <c r="G16" i="17"/>
  <c r="F16" i="17"/>
  <c r="E16" i="17"/>
  <c r="D16" i="17"/>
  <c r="B16" i="17"/>
  <c r="H15" i="17"/>
  <c r="G15" i="17"/>
  <c r="F15" i="17"/>
  <c r="E15" i="17"/>
  <c r="D15" i="17"/>
  <c r="B15" i="17"/>
  <c r="H14" i="17"/>
  <c r="G14" i="17"/>
  <c r="F14" i="17"/>
  <c r="E14" i="17"/>
  <c r="D14" i="17"/>
  <c r="B14" i="17"/>
  <c r="H13" i="17"/>
  <c r="G13" i="17"/>
  <c r="F13" i="17"/>
  <c r="E13" i="17"/>
  <c r="D13" i="17"/>
  <c r="B13" i="17"/>
  <c r="H12" i="17"/>
  <c r="G12" i="17"/>
  <c r="F12" i="17"/>
  <c r="E12" i="17"/>
  <c r="D12" i="17"/>
  <c r="B12" i="17"/>
  <c r="B9" i="17"/>
  <c r="I6" i="17"/>
  <c r="I5" i="17" s="1"/>
  <c r="I6" i="5"/>
  <c r="I5" i="5" s="1"/>
  <c r="I6" i="2"/>
  <c r="I5" i="2" s="1"/>
  <c r="I55" i="4"/>
  <c r="H55" i="4"/>
  <c r="G55" i="4"/>
  <c r="F55" i="4"/>
  <c r="E55" i="4"/>
  <c r="I36" i="4"/>
  <c r="H36" i="4"/>
  <c r="G36" i="4"/>
  <c r="F36" i="4"/>
  <c r="E36" i="4"/>
  <c r="B59" i="1"/>
  <c r="B56" i="1"/>
  <c r="B55" i="1"/>
  <c r="B40" i="1"/>
  <c r="B39" i="1"/>
  <c r="B32" i="1"/>
  <c r="B31" i="1"/>
  <c r="B29" i="1"/>
  <c r="B28" i="1"/>
  <c r="B13" i="1"/>
  <c r="B12" i="1"/>
  <c r="J6" i="1"/>
  <c r="G126" i="28"/>
  <c r="G125" i="28"/>
  <c r="G124" i="28"/>
  <c r="G123" i="28"/>
  <c r="D6" i="17"/>
  <c r="D5" i="17" s="1"/>
  <c r="M9" i="30"/>
  <c r="N9" i="30" s="1"/>
  <c r="D6" i="19"/>
  <c r="T9" i="31"/>
  <c r="T8" i="31" s="1"/>
  <c r="D6" i="2"/>
  <c r="D5" i="2" s="1"/>
  <c r="D6" i="11"/>
  <c r="D5" i="11" s="1"/>
  <c r="D6" i="27"/>
  <c r="D5" i="27" s="1"/>
  <c r="E6" i="10"/>
  <c r="E5" i="10" s="1"/>
  <c r="D5" i="19"/>
  <c r="E6" i="19"/>
  <c r="E5" i="19" s="1"/>
  <c r="E6" i="27"/>
  <c r="F6" i="27" s="1"/>
  <c r="B21" i="1"/>
  <c r="F6" i="19"/>
  <c r="F5" i="19" s="1"/>
  <c r="F20" i="4"/>
  <c r="G20" i="4"/>
  <c r="H20" i="4"/>
  <c r="I20" i="4"/>
  <c r="E71" i="4" l="1"/>
  <c r="E78" i="4" s="1"/>
  <c r="E47" i="17"/>
  <c r="E56" i="17" s="1"/>
  <c r="D47" i="17"/>
  <c r="D56" i="17" s="1"/>
  <c r="G47" i="17"/>
  <c r="G56" i="17" s="1"/>
  <c r="S642" i="30"/>
  <c r="S644" i="30" s="1"/>
  <c r="S649" i="30" s="1"/>
  <c r="S665" i="30" s="1"/>
  <c r="S667" i="30" s="1"/>
  <c r="X556" i="30"/>
  <c r="X572" i="30" s="1"/>
  <c r="X587" i="30" s="1"/>
  <c r="H47" i="17"/>
  <c r="H56" i="17" s="1"/>
  <c r="V642" i="30"/>
  <c r="V644" i="30" s="1"/>
  <c r="V649" i="30" s="1"/>
  <c r="V665" i="30" s="1"/>
  <c r="V667" i="30" s="1"/>
  <c r="J53" i="17"/>
  <c r="O623" i="30"/>
  <c r="P642" i="30"/>
  <c r="P644" i="30" s="1"/>
  <c r="P649" i="30" s="1"/>
  <c r="P665" i="30" s="1"/>
  <c r="P667" i="30" s="1"/>
  <c r="M8" i="30"/>
  <c r="J49" i="17"/>
  <c r="F56" i="17"/>
  <c r="P550" i="30"/>
  <c r="P556" i="30" s="1"/>
  <c r="P572" i="30" s="1"/>
  <c r="P587" i="30" s="1"/>
  <c r="P589" i="30" s="1"/>
  <c r="P596" i="30" s="1"/>
  <c r="P614" i="30" s="1"/>
  <c r="P631" i="30" s="1"/>
  <c r="O550" i="30"/>
  <c r="O556" i="30" s="1"/>
  <c r="O572" i="30" s="1"/>
  <c r="O587" i="30" s="1"/>
  <c r="O589" i="30" s="1"/>
  <c r="F9" i="17" s="1"/>
  <c r="G95" i="4" s="1"/>
  <c r="Q550" i="30"/>
  <c r="Q556" i="30" s="1"/>
  <c r="Q572" i="30" s="1"/>
  <c r="Q587" i="30" s="1"/>
  <c r="Q589" i="30" s="1"/>
  <c r="R642" i="30"/>
  <c r="R644" i="30" s="1"/>
  <c r="R649" i="30" s="1"/>
  <c r="R665" i="30" s="1"/>
  <c r="R667" i="30" s="1"/>
  <c r="T642" i="30"/>
  <c r="T644" i="30" s="1"/>
  <c r="T649" i="30" s="1"/>
  <c r="T665" i="30" s="1"/>
  <c r="T667" i="30" s="1"/>
  <c r="O642" i="30"/>
  <c r="O644" i="30" s="1"/>
  <c r="O649" i="30" s="1"/>
  <c r="O665" i="30" s="1"/>
  <c r="O667" i="30" s="1"/>
  <c r="S550" i="30"/>
  <c r="S556" i="30" s="1"/>
  <c r="S572" i="30" s="1"/>
  <c r="S587" i="30" s="1"/>
  <c r="S589" i="30" s="1"/>
  <c r="S596" i="30" s="1"/>
  <c r="S614" i="30" s="1"/>
  <c r="S631" i="30" s="1"/>
  <c r="N642" i="30"/>
  <c r="N644" i="30" s="1"/>
  <c r="N649" i="30" s="1"/>
  <c r="N665" i="30" s="1"/>
  <c r="N667" i="30" s="1"/>
  <c r="N550" i="30"/>
  <c r="N556" i="30" s="1"/>
  <c r="N572" i="30" s="1"/>
  <c r="N587" i="30" s="1"/>
  <c r="N589" i="30" s="1"/>
  <c r="N596" i="30" s="1"/>
  <c r="N614" i="30" s="1"/>
  <c r="N631" i="30" s="1"/>
  <c r="V550" i="30"/>
  <c r="V556" i="30" s="1"/>
  <c r="V572" i="30" s="1"/>
  <c r="V587" i="30" s="1"/>
  <c r="V589" i="30" s="1"/>
  <c r="V596" i="30" s="1"/>
  <c r="V614" i="30" s="1"/>
  <c r="V631" i="30" s="1"/>
  <c r="R550" i="30"/>
  <c r="R556" i="30" s="1"/>
  <c r="R572" i="30" s="1"/>
  <c r="R587" i="30" s="1"/>
  <c r="R589" i="30" s="1"/>
  <c r="R596" i="30" s="1"/>
  <c r="R614" i="30" s="1"/>
  <c r="R631" i="30" s="1"/>
  <c r="Q642" i="30"/>
  <c r="Q644" i="30" s="1"/>
  <c r="Q649" i="30" s="1"/>
  <c r="Q665" i="30" s="1"/>
  <c r="Q667" i="30" s="1"/>
  <c r="X589" i="30"/>
  <c r="J50" i="17"/>
  <c r="J51" i="17"/>
  <c r="J52" i="17"/>
  <c r="J54" i="17"/>
  <c r="N8" i="30"/>
  <c r="O9" i="30"/>
  <c r="O8" i="30" s="1"/>
  <c r="M642" i="30"/>
  <c r="M644" i="30" s="1"/>
  <c r="M649" i="30" s="1"/>
  <c r="M665" i="30" s="1"/>
  <c r="M667" i="30" s="1"/>
  <c r="M550" i="30"/>
  <c r="M556" i="30" s="1"/>
  <c r="M572" i="30" s="1"/>
  <c r="M587" i="30" s="1"/>
  <c r="M589" i="30" s="1"/>
  <c r="M596" i="30" s="1"/>
  <c r="M614" i="30" s="1"/>
  <c r="M631" i="30" s="1"/>
  <c r="U642" i="30"/>
  <c r="U644" i="30" s="1"/>
  <c r="U649" i="30" s="1"/>
  <c r="U665" i="30" s="1"/>
  <c r="U667" i="30" s="1"/>
  <c r="T550" i="30"/>
  <c r="T556" i="30" s="1"/>
  <c r="T572" i="30" s="1"/>
  <c r="T587" i="30" s="1"/>
  <c r="T589" i="30" s="1"/>
  <c r="T596" i="30" s="1"/>
  <c r="T614" i="30" s="1"/>
  <c r="T631" i="30" s="1"/>
  <c r="U550" i="30"/>
  <c r="U556" i="30" s="1"/>
  <c r="U572" i="30" s="1"/>
  <c r="U587" i="30" s="1"/>
  <c r="U589" i="30" s="1"/>
  <c r="U596" i="30" s="1"/>
  <c r="U614" i="30" s="1"/>
  <c r="U631" i="30" s="1"/>
  <c r="AA363" i="31"/>
  <c r="AA383" i="31" s="1"/>
  <c r="AA400" i="31" s="1"/>
  <c r="T630" i="30" s="1"/>
  <c r="AC363" i="31"/>
  <c r="AC383" i="31" s="1"/>
  <c r="AC400" i="31" s="1"/>
  <c r="V630" i="30" s="1"/>
  <c r="U363" i="31"/>
  <c r="U383" i="31" s="1"/>
  <c r="U400" i="31" s="1"/>
  <c r="N630" i="30" s="1"/>
  <c r="U9" i="31"/>
  <c r="V9" i="31" s="1"/>
  <c r="W9" i="31" s="1"/>
  <c r="X363" i="31"/>
  <c r="X383" i="31" s="1"/>
  <c r="X400" i="31" s="1"/>
  <c r="Q630" i="30" s="1"/>
  <c r="E11" i="27"/>
  <c r="F9" i="27" s="1"/>
  <c r="H24" i="27"/>
  <c r="H43" i="27" s="1"/>
  <c r="H45" i="27" s="1"/>
  <c r="H49" i="27" s="1"/>
  <c r="G24" i="27"/>
  <c r="G43" i="27" s="1"/>
  <c r="G45" i="27" s="1"/>
  <c r="G49" i="27" s="1"/>
  <c r="H48" i="27" s="1"/>
  <c r="AB363" i="31"/>
  <c r="AB383" i="31" s="1"/>
  <c r="AB400" i="31" s="1"/>
  <c r="U630" i="30" s="1"/>
  <c r="Y363" i="31"/>
  <c r="Y383" i="31" s="1"/>
  <c r="Y400" i="31" s="1"/>
  <c r="R630" i="30" s="1"/>
  <c r="Z363" i="31"/>
  <c r="Z383" i="31" s="1"/>
  <c r="Z400" i="31" s="1"/>
  <c r="S630" i="30" s="1"/>
  <c r="D24" i="27"/>
  <c r="D43" i="27" s="1"/>
  <c r="T363" i="31"/>
  <c r="T383" i="31" s="1"/>
  <c r="T400" i="31" s="1"/>
  <c r="M630" i="30" s="1"/>
  <c r="V363" i="31"/>
  <c r="V383" i="31" s="1"/>
  <c r="V400" i="31" s="1"/>
  <c r="O630" i="30" s="1"/>
  <c r="W363" i="31"/>
  <c r="W383" i="31" s="1"/>
  <c r="W400" i="31" s="1"/>
  <c r="P630" i="30" s="1"/>
  <c r="F24" i="27"/>
  <c r="F43" i="27" s="1"/>
  <c r="G67" i="35"/>
  <c r="G25" i="35"/>
  <c r="G17" i="35"/>
  <c r="G66" i="35"/>
  <c r="G16" i="35"/>
  <c r="G91" i="35"/>
  <c r="G56" i="35"/>
  <c r="G19" i="35"/>
  <c r="G87" i="35"/>
  <c r="G65" i="35"/>
  <c r="G88" i="35"/>
  <c r="G26" i="35"/>
  <c r="G90" i="35"/>
  <c r="G18" i="35"/>
  <c r="G89" i="35"/>
  <c r="G20" i="35"/>
  <c r="C99" i="35"/>
  <c r="E191" i="28"/>
  <c r="J54" i="28"/>
  <c r="J73" i="28" s="1"/>
  <c r="I79" i="28"/>
  <c r="Q54" i="28"/>
  <c r="P79" i="28"/>
  <c r="C9" i="28"/>
  <c r="C30" i="2" s="1"/>
  <c r="I57" i="2"/>
  <c r="I59" i="2"/>
  <c r="I58" i="2"/>
  <c r="I28" i="2"/>
  <c r="I29" i="2"/>
  <c r="I30" i="2"/>
  <c r="E81" i="4"/>
  <c r="H71" i="4"/>
  <c r="H77" i="4"/>
  <c r="H81" i="4" s="1"/>
  <c r="I71" i="4"/>
  <c r="I80" i="4" s="1"/>
  <c r="I92" i="4" s="1"/>
  <c r="I77" i="4"/>
  <c r="I81" i="4" s="1"/>
  <c r="G71" i="4"/>
  <c r="G80" i="4" s="1"/>
  <c r="G92" i="4" s="1"/>
  <c r="G77" i="4"/>
  <c r="G81" i="4" s="1"/>
  <c r="F71" i="4"/>
  <c r="F77" i="4"/>
  <c r="F81" i="4" s="1"/>
  <c r="E5" i="27"/>
  <c r="E30" i="10"/>
  <c r="D26" i="28"/>
  <c r="D28" i="28"/>
  <c r="E6" i="5"/>
  <c r="F6" i="5" s="1"/>
  <c r="D5" i="5"/>
  <c r="D85" i="2"/>
  <c r="I85" i="2" s="1"/>
  <c r="D86" i="2"/>
  <c r="G85" i="2"/>
  <c r="G86" i="2"/>
  <c r="E86" i="2"/>
  <c r="E85" i="2"/>
  <c r="H86" i="2"/>
  <c r="H85" i="2"/>
  <c r="F85" i="2"/>
  <c r="F86" i="2"/>
  <c r="D61" i="2"/>
  <c r="I61" i="2" s="1"/>
  <c r="I62" i="2"/>
  <c r="G61" i="2"/>
  <c r="E61" i="2"/>
  <c r="H61" i="2"/>
  <c r="F61" i="2"/>
  <c r="F32" i="2"/>
  <c r="H32" i="2"/>
  <c r="D32" i="2"/>
  <c r="I32" i="2" s="1"/>
  <c r="I33" i="2"/>
  <c r="G32" i="2"/>
  <c r="E32" i="2"/>
  <c r="E28" i="28"/>
  <c r="F6" i="4"/>
  <c r="H123" i="2"/>
  <c r="H152" i="2" s="1"/>
  <c r="H186" i="2" s="1"/>
  <c r="F77" i="2"/>
  <c r="F123" i="2"/>
  <c r="E123" i="2"/>
  <c r="E4" i="29"/>
  <c r="G47" i="11"/>
  <c r="G66" i="11" s="1"/>
  <c r="D47" i="11"/>
  <c r="D66" i="11" s="1"/>
  <c r="F47" i="11"/>
  <c r="F66" i="11" s="1"/>
  <c r="E47" i="11"/>
  <c r="E66" i="11" s="1"/>
  <c r="H47" i="11"/>
  <c r="H66" i="11" s="1"/>
  <c r="B20" i="1"/>
  <c r="I81" i="2"/>
  <c r="I82" i="2"/>
  <c r="I83" i="2"/>
  <c r="I25" i="2"/>
  <c r="I54" i="2"/>
  <c r="I53" i="2"/>
  <c r="I52" i="2"/>
  <c r="I24" i="2"/>
  <c r="I23" i="2"/>
  <c r="H78" i="2"/>
  <c r="G78" i="2"/>
  <c r="E78" i="2"/>
  <c r="E80" i="4"/>
  <c r="E92" i="4" s="1"/>
  <c r="J73" i="2"/>
  <c r="D123" i="2"/>
  <c r="D152" i="2" s="1"/>
  <c r="D186" i="2" s="1"/>
  <c r="G123" i="2"/>
  <c r="F78" i="2"/>
  <c r="F6" i="29"/>
  <c r="F5" i="29" s="1"/>
  <c r="D77" i="2"/>
  <c r="F6" i="10"/>
  <c r="G6" i="10" s="1"/>
  <c r="H6" i="10" s="1"/>
  <c r="F5" i="27"/>
  <c r="G6" i="27"/>
  <c r="E6" i="17"/>
  <c r="E6" i="2"/>
  <c r="E6" i="11"/>
  <c r="E51" i="19"/>
  <c r="G6" i="19"/>
  <c r="E24" i="28"/>
  <c r="E65" i="4"/>
  <c r="E5" i="4"/>
  <c r="G52" i="19"/>
  <c r="F25" i="28"/>
  <c r="E104" i="2"/>
  <c r="E103" i="2" s="1"/>
  <c r="E156" i="2" s="1"/>
  <c r="H43" i="29"/>
  <c r="G77" i="2"/>
  <c r="D59" i="27"/>
  <c r="F59" i="27"/>
  <c r="F43" i="29"/>
  <c r="E6" i="1"/>
  <c r="F6" i="1" s="1"/>
  <c r="F5" i="1" s="1"/>
  <c r="G46" i="28"/>
  <c r="H46" i="28" s="1"/>
  <c r="O71" i="28"/>
  <c r="P83" i="28"/>
  <c r="Q77" i="28"/>
  <c r="O77" i="28"/>
  <c r="P69" i="28"/>
  <c r="O69" i="28"/>
  <c r="Q65" i="28"/>
  <c r="O81" i="28"/>
  <c r="Q75" i="28"/>
  <c r="O80" i="28"/>
  <c r="Q61" i="28"/>
  <c r="O74" i="28"/>
  <c r="O78" i="28"/>
  <c r="P70" i="28"/>
  <c r="P76" i="28"/>
  <c r="Q73" i="28"/>
  <c r="P82" i="28"/>
  <c r="Q68" i="28"/>
  <c r="Q83" i="28"/>
  <c r="O73" i="28"/>
  <c r="O83" i="28"/>
  <c r="Q63" i="28"/>
  <c r="Q71" i="28"/>
  <c r="P80" i="28"/>
  <c r="O76" i="28"/>
  <c r="Q81" i="28"/>
  <c r="Q78" i="28"/>
  <c r="O75" i="28"/>
  <c r="P81" i="28"/>
  <c r="Q55" i="28"/>
  <c r="Q69" i="28"/>
  <c r="P77" i="28"/>
  <c r="Q64" i="28"/>
  <c r="Q76" i="28"/>
  <c r="Q57" i="28"/>
  <c r="O72" i="28"/>
  <c r="O70" i="28"/>
  <c r="Q66" i="28"/>
  <c r="P75" i="28"/>
  <c r="Q56" i="28"/>
  <c r="Q74" i="28"/>
  <c r="P78" i="28"/>
  <c r="P74" i="28"/>
  <c r="Q62" i="28"/>
  <c r="Q82" i="28"/>
  <c r="Q58" i="28"/>
  <c r="P73" i="28"/>
  <c r="Q67" i="28"/>
  <c r="Q72" i="28"/>
  <c r="P72" i="28"/>
  <c r="O82" i="28"/>
  <c r="Q80" i="28"/>
  <c r="Q60" i="28"/>
  <c r="P71" i="28"/>
  <c r="Q59" i="28"/>
  <c r="Q70" i="28"/>
  <c r="H69" i="28"/>
  <c r="H78" i="28"/>
  <c r="H70" i="28"/>
  <c r="I80" i="28"/>
  <c r="I71" i="28"/>
  <c r="H77" i="28"/>
  <c r="I78" i="28"/>
  <c r="I70" i="28"/>
  <c r="G35" i="28"/>
  <c r="H35" i="28" s="1"/>
  <c r="I35" i="28" s="1"/>
  <c r="J35" i="28" s="1"/>
  <c r="H76" i="28"/>
  <c r="I77" i="28"/>
  <c r="H75" i="28"/>
  <c r="I76" i="28"/>
  <c r="H73" i="28"/>
  <c r="H83" i="28"/>
  <c r="H74" i="28"/>
  <c r="I69" i="28"/>
  <c r="I75" i="28"/>
  <c r="H82" i="28"/>
  <c r="I83" i="28"/>
  <c r="H81" i="28"/>
  <c r="H72" i="28"/>
  <c r="I82" i="28"/>
  <c r="I73" i="28"/>
  <c r="H80" i="28"/>
  <c r="H71" i="28"/>
  <c r="I81" i="28"/>
  <c r="I72" i="28"/>
  <c r="I74" i="28"/>
  <c r="H63" i="17"/>
  <c r="H57" i="4"/>
  <c r="H59" i="4" s="1"/>
  <c r="F57" i="4"/>
  <c r="F59" i="4" s="1"/>
  <c r="I57" i="4"/>
  <c r="I59" i="4" s="1"/>
  <c r="G57" i="4"/>
  <c r="G59" i="4" s="1"/>
  <c r="E57" i="4"/>
  <c r="E59" i="4" s="1"/>
  <c r="B48" i="1"/>
  <c r="H77" i="2"/>
  <c r="E123" i="28"/>
  <c r="F123" i="28" s="1"/>
  <c r="E127" i="28"/>
  <c r="F127" i="28" s="1"/>
  <c r="E77" i="2"/>
  <c r="D78" i="2"/>
  <c r="D63" i="17"/>
  <c r="G63" i="17"/>
  <c r="I36" i="10"/>
  <c r="H36" i="10"/>
  <c r="E126" i="28"/>
  <c r="F126" i="28" s="1"/>
  <c r="E190" i="28"/>
  <c r="E187" i="28"/>
  <c r="E63" i="17"/>
  <c r="F36" i="10"/>
  <c r="F26" i="28"/>
  <c r="I26" i="28"/>
  <c r="E184" i="28"/>
  <c r="B120" i="28"/>
  <c r="E26" i="28"/>
  <c r="H26" i="28"/>
  <c r="E183" i="28"/>
  <c r="K26" i="28"/>
  <c r="G26" i="28"/>
  <c r="E189" i="28"/>
  <c r="E129" i="28"/>
  <c r="F129" i="28" s="1"/>
  <c r="J26" i="28"/>
  <c r="E128" i="28"/>
  <c r="F128" i="28" s="1"/>
  <c r="E186" i="28"/>
  <c r="E188" i="28"/>
  <c r="E124" i="28"/>
  <c r="F124" i="28" s="1"/>
  <c r="E125" i="28"/>
  <c r="F125" i="28" s="1"/>
  <c r="E185" i="28"/>
  <c r="G43" i="29"/>
  <c r="D66" i="27"/>
  <c r="E36" i="10"/>
  <c r="G59" i="27"/>
  <c r="E59" i="27"/>
  <c r="G66" i="27"/>
  <c r="E66" i="27"/>
  <c r="F66" i="27"/>
  <c r="B3" i="30"/>
  <c r="H59" i="27"/>
  <c r="I43" i="29"/>
  <c r="H66" i="27"/>
  <c r="E43" i="29"/>
  <c r="F63" i="17"/>
  <c r="J76" i="28" l="1"/>
  <c r="J78" i="28"/>
  <c r="J81" i="28"/>
  <c r="J77" i="28"/>
  <c r="J55" i="28"/>
  <c r="J69" i="28"/>
  <c r="J71" i="28"/>
  <c r="J74" i="28"/>
  <c r="J66" i="28"/>
  <c r="J82" i="28"/>
  <c r="J61" i="28"/>
  <c r="D155" i="2"/>
  <c r="D156" i="2" s="1"/>
  <c r="J47" i="17"/>
  <c r="P9" i="30"/>
  <c r="P8" i="30" s="1"/>
  <c r="F29" i="17"/>
  <c r="G96" i="4" s="1"/>
  <c r="G97" i="4" s="1"/>
  <c r="G9" i="17"/>
  <c r="H95" i="4" s="1"/>
  <c r="Q596" i="30"/>
  <c r="Q614" i="30" s="1"/>
  <c r="Q631" i="30" s="1"/>
  <c r="H9" i="17"/>
  <c r="I95" i="4" s="1"/>
  <c r="D9" i="17"/>
  <c r="E95" i="4" s="1"/>
  <c r="O596" i="30"/>
  <c r="O614" i="30" s="1"/>
  <c r="O631" i="30" s="1"/>
  <c r="E9" i="17"/>
  <c r="D46" i="27"/>
  <c r="V8" i="31"/>
  <c r="U8" i="31"/>
  <c r="E24" i="27"/>
  <c r="E43" i="27" s="1"/>
  <c r="E45" i="27" s="1"/>
  <c r="E49" i="27" s="1"/>
  <c r="F48" i="27" s="1"/>
  <c r="H55" i="27"/>
  <c r="H46" i="27"/>
  <c r="D45" i="27"/>
  <c r="D49" i="27" s="1"/>
  <c r="E48" i="27" s="1"/>
  <c r="F46" i="27"/>
  <c r="F45" i="27"/>
  <c r="F49" i="27" s="1"/>
  <c r="G48" i="27" s="1"/>
  <c r="G55" i="27" s="1"/>
  <c r="G46" i="27"/>
  <c r="H98" i="35"/>
  <c r="H99" i="35" s="1"/>
  <c r="I98" i="35"/>
  <c r="I99" i="35" s="1"/>
  <c r="B186" i="28"/>
  <c r="B187" i="28"/>
  <c r="B188" i="28"/>
  <c r="B189" i="28"/>
  <c r="B190" i="28"/>
  <c r="B184" i="28"/>
  <c r="B185" i="28"/>
  <c r="B191" i="28"/>
  <c r="B66" i="5" s="1"/>
  <c r="J75" i="28"/>
  <c r="J60" i="28"/>
  <c r="J83" i="28"/>
  <c r="J62" i="28"/>
  <c r="J64" i="28"/>
  <c r="J57" i="28"/>
  <c r="J72" i="28"/>
  <c r="C83" i="1"/>
  <c r="C97" i="2"/>
  <c r="C81" i="1"/>
  <c r="J80" i="28"/>
  <c r="J59" i="28"/>
  <c r="J68" i="28"/>
  <c r="J56" i="28"/>
  <c r="J70" i="28"/>
  <c r="J58" i="28"/>
  <c r="J67" i="28"/>
  <c r="J65" i="28"/>
  <c r="J63" i="28"/>
  <c r="C62" i="27"/>
  <c r="D65" i="29"/>
  <c r="D67" i="29"/>
  <c r="C23" i="19"/>
  <c r="C71" i="17"/>
  <c r="C89" i="2"/>
  <c r="C62" i="5"/>
  <c r="C12" i="5"/>
  <c r="C15" i="2"/>
  <c r="D20" i="10"/>
  <c r="C98" i="2"/>
  <c r="C44" i="17"/>
  <c r="C19" i="2"/>
  <c r="C20" i="5"/>
  <c r="C77" i="2"/>
  <c r="C87" i="17"/>
  <c r="C14" i="5"/>
  <c r="C91" i="2"/>
  <c r="C87" i="1"/>
  <c r="C83" i="17"/>
  <c r="D43" i="10"/>
  <c r="C43" i="2"/>
  <c r="C16" i="5"/>
  <c r="C67" i="5"/>
  <c r="C67" i="2"/>
  <c r="C63" i="27"/>
  <c r="D62" i="29"/>
  <c r="D12" i="10"/>
  <c r="D68" i="29"/>
  <c r="C64" i="5"/>
  <c r="C80" i="1"/>
  <c r="C70" i="17"/>
  <c r="C82" i="1"/>
  <c r="C14" i="2"/>
  <c r="C85" i="1"/>
  <c r="D19" i="10"/>
  <c r="C38" i="2"/>
  <c r="D40" i="10"/>
  <c r="D41" i="10"/>
  <c r="D60" i="29"/>
  <c r="D39" i="10"/>
  <c r="D44" i="10"/>
  <c r="C52" i="5"/>
  <c r="C70" i="1"/>
  <c r="D38" i="29"/>
  <c r="C79" i="1"/>
  <c r="C75" i="1"/>
  <c r="C49" i="2"/>
  <c r="C73" i="2"/>
  <c r="C66" i="1"/>
  <c r="C21" i="19"/>
  <c r="D21" i="10"/>
  <c r="C84" i="1"/>
  <c r="C83" i="2"/>
  <c r="C44" i="2"/>
  <c r="C65" i="5"/>
  <c r="D45" i="10"/>
  <c r="C71" i="2"/>
  <c r="D18" i="10"/>
  <c r="C72" i="2"/>
  <c r="C64" i="27"/>
  <c r="C91" i="1"/>
  <c r="C20" i="2"/>
  <c r="C18" i="19"/>
  <c r="D23" i="10"/>
  <c r="C85" i="17"/>
  <c r="C52" i="2"/>
  <c r="C15" i="5"/>
  <c r="C66" i="5"/>
  <c r="C77" i="1"/>
  <c r="C69" i="1"/>
  <c r="C90" i="1"/>
  <c r="C54" i="2"/>
  <c r="C17" i="5"/>
  <c r="C77" i="17"/>
  <c r="C74" i="1"/>
  <c r="C57" i="17"/>
  <c r="C41" i="5"/>
  <c r="D58" i="29"/>
  <c r="C67" i="1"/>
  <c r="D22" i="10"/>
  <c r="C88" i="1"/>
  <c r="D24" i="10"/>
  <c r="C68" i="1"/>
  <c r="C78" i="2"/>
  <c r="C48" i="2"/>
  <c r="C42" i="2"/>
  <c r="C82" i="2"/>
  <c r="B63" i="1"/>
  <c r="C73" i="1"/>
  <c r="C65" i="1"/>
  <c r="C18" i="5"/>
  <c r="D17" i="10"/>
  <c r="D15" i="10"/>
  <c r="D54" i="29"/>
  <c r="C86" i="1"/>
  <c r="D50" i="29"/>
  <c r="C72" i="1"/>
  <c r="D16" i="10"/>
  <c r="C96" i="2"/>
  <c r="C63" i="5"/>
  <c r="C13" i="2"/>
  <c r="C78" i="1"/>
  <c r="C22" i="19"/>
  <c r="C71" i="1"/>
  <c r="C54" i="19"/>
  <c r="R54" i="28"/>
  <c r="Q79" i="28"/>
  <c r="K54" i="28"/>
  <c r="K77" i="28" s="1"/>
  <c r="J79" i="28"/>
  <c r="C53" i="2"/>
  <c r="C53" i="5"/>
  <c r="C37" i="2"/>
  <c r="C37" i="5"/>
  <c r="C65" i="2"/>
  <c r="C45" i="5"/>
  <c r="C25" i="2"/>
  <c r="C19" i="5"/>
  <c r="C38" i="5"/>
  <c r="C23" i="2"/>
  <c r="C81" i="2"/>
  <c r="C48" i="5"/>
  <c r="C66" i="2"/>
  <c r="C24" i="2"/>
  <c r="C39" i="5"/>
  <c r="C90" i="2"/>
  <c r="C36" i="2"/>
  <c r="C76" i="1"/>
  <c r="C54" i="5"/>
  <c r="C40" i="5"/>
  <c r="C58" i="2"/>
  <c r="C28" i="2"/>
  <c r="C29" i="2"/>
  <c r="C51" i="5"/>
  <c r="C46" i="5"/>
  <c r="C55" i="5"/>
  <c r="C59" i="2"/>
  <c r="C57" i="2"/>
  <c r="C44" i="5"/>
  <c r="C47" i="5"/>
  <c r="E155" i="2"/>
  <c r="H78" i="4"/>
  <c r="F78" i="4"/>
  <c r="I78" i="4"/>
  <c r="H90" i="2"/>
  <c r="H80" i="4"/>
  <c r="H92" i="4" s="1"/>
  <c r="G78" i="4"/>
  <c r="F80" i="4"/>
  <c r="F92" i="4" s="1"/>
  <c r="J56" i="17"/>
  <c r="C6" i="28"/>
  <c r="E90" i="2"/>
  <c r="E98" i="35"/>
  <c r="E99" i="35" s="1"/>
  <c r="D98" i="35"/>
  <c r="D99" i="35" s="1"/>
  <c r="F5" i="4"/>
  <c r="G6" i="4"/>
  <c r="G5" i="4" s="1"/>
  <c r="F90" i="2"/>
  <c r="G90" i="2"/>
  <c r="E76" i="1"/>
  <c r="D76" i="1"/>
  <c r="G6" i="1"/>
  <c r="E5" i="1"/>
  <c r="E5" i="5"/>
  <c r="E74" i="1"/>
  <c r="D90" i="2"/>
  <c r="I90" i="2" s="1"/>
  <c r="D89" i="2"/>
  <c r="I89" i="2" s="1"/>
  <c r="E89" i="2"/>
  <c r="F89" i="2"/>
  <c r="G89" i="2"/>
  <c r="H89" i="2"/>
  <c r="J86" i="2"/>
  <c r="J85" i="2"/>
  <c r="J33" i="2"/>
  <c r="J62" i="2"/>
  <c r="J61" i="2"/>
  <c r="J32" i="2"/>
  <c r="F28" i="28"/>
  <c r="F27" i="28"/>
  <c r="G105" i="4"/>
  <c r="G152" i="2"/>
  <c r="G186" i="2" s="1"/>
  <c r="F152" i="2"/>
  <c r="F186" i="2" s="1"/>
  <c r="E152" i="2"/>
  <c r="E186" i="2" s="1"/>
  <c r="G6" i="29"/>
  <c r="G5" i="29" s="1"/>
  <c r="F4" i="29"/>
  <c r="F5" i="10"/>
  <c r="F27" i="10" s="1"/>
  <c r="G5" i="10"/>
  <c r="G27" i="10" s="1"/>
  <c r="E5" i="2"/>
  <c r="F6" i="2"/>
  <c r="E5" i="17"/>
  <c r="F6" i="17"/>
  <c r="G5" i="27"/>
  <c r="H6" i="27"/>
  <c r="H5" i="27" s="1"/>
  <c r="E5" i="11"/>
  <c r="F6" i="11"/>
  <c r="G6" i="5"/>
  <c r="G5" i="19"/>
  <c r="H6" i="19"/>
  <c r="H5" i="19" s="1"/>
  <c r="F104" i="2"/>
  <c r="F24" i="28"/>
  <c r="G25" i="28"/>
  <c r="F5" i="5"/>
  <c r="H52" i="19"/>
  <c r="H51" i="19" s="1"/>
  <c r="G51" i="19"/>
  <c r="H5" i="10"/>
  <c r="H27" i="10" s="1"/>
  <c r="I6" i="10"/>
  <c r="E34" i="10"/>
  <c r="E35" i="10"/>
  <c r="W8" i="31"/>
  <c r="X9" i="31"/>
  <c r="J77" i="2"/>
  <c r="G34" i="10"/>
  <c r="F35" i="10"/>
  <c r="I46" i="28"/>
  <c r="J46" i="28" s="1"/>
  <c r="H6" i="1"/>
  <c r="H5" i="1" s="1"/>
  <c r="G5" i="1"/>
  <c r="B125" i="28"/>
  <c r="B15" i="5" s="1"/>
  <c r="B128" i="28"/>
  <c r="B18" i="5" s="1"/>
  <c r="B72" i="1" s="1"/>
  <c r="B126" i="28"/>
  <c r="B16" i="5" s="1"/>
  <c r="B70" i="1" s="1"/>
  <c r="B127" i="28"/>
  <c r="B17" i="5" s="1"/>
  <c r="B71" i="1" s="1"/>
  <c r="B129" i="28"/>
  <c r="B19" i="5" s="1"/>
  <c r="B73" i="1" s="1"/>
  <c r="B124" i="28"/>
  <c r="B14" i="5" s="1"/>
  <c r="J78" i="2"/>
  <c r="H15" i="4"/>
  <c r="H18" i="4" s="1"/>
  <c r="D75" i="1"/>
  <c r="D74" i="1"/>
  <c r="B130" i="28"/>
  <c r="G15" i="4"/>
  <c r="G18" i="4" s="1"/>
  <c r="F36" i="29"/>
  <c r="F15" i="4"/>
  <c r="F18" i="4" s="1"/>
  <c r="E18" i="19"/>
  <c r="E42" i="17"/>
  <c r="E54" i="19"/>
  <c r="E82" i="1" s="1"/>
  <c r="I15" i="4"/>
  <c r="I18" i="4" s="1"/>
  <c r="K56" i="28" l="1"/>
  <c r="B68" i="1"/>
  <c r="B69" i="1"/>
  <c r="J76" i="1"/>
  <c r="Q9" i="30"/>
  <c r="Q8" i="30" s="1"/>
  <c r="F31" i="17"/>
  <c r="F34" i="17" s="1"/>
  <c r="D29" i="17"/>
  <c r="E96" i="4" s="1"/>
  <c r="E97" i="4" s="1"/>
  <c r="G29" i="17"/>
  <c r="H96" i="4" s="1"/>
  <c r="H97" i="4" s="1"/>
  <c r="H29" i="17"/>
  <c r="I96" i="4" s="1"/>
  <c r="I97" i="4" s="1"/>
  <c r="F95" i="4"/>
  <c r="E29" i="17"/>
  <c r="F55" i="27"/>
  <c r="E46" i="27"/>
  <c r="D55" i="27"/>
  <c r="E55" i="27"/>
  <c r="E38" i="17" s="1"/>
  <c r="K99" i="35"/>
  <c r="H6" i="4"/>
  <c r="H5" i="4" s="1"/>
  <c r="G65" i="4"/>
  <c r="K65" i="28"/>
  <c r="F34" i="10" s="1"/>
  <c r="F37" i="10" s="1"/>
  <c r="K59" i="28"/>
  <c r="K82" i="28"/>
  <c r="K62" i="28"/>
  <c r="K58" i="28"/>
  <c r="K80" i="28"/>
  <c r="K55" i="28"/>
  <c r="K72" i="28"/>
  <c r="K63" i="28"/>
  <c r="K57" i="28"/>
  <c r="K67" i="28"/>
  <c r="K76" i="28"/>
  <c r="K74" i="28"/>
  <c r="K66" i="28"/>
  <c r="K70" i="28"/>
  <c r="K83" i="28"/>
  <c r="K61" i="28"/>
  <c r="K71" i="28"/>
  <c r="K73" i="28"/>
  <c r="K64" i="28"/>
  <c r="K75" i="28"/>
  <c r="K60" i="28"/>
  <c r="K81" i="28"/>
  <c r="K68" i="28"/>
  <c r="L54" i="28"/>
  <c r="K79" i="28"/>
  <c r="K78" i="28"/>
  <c r="K69" i="28"/>
  <c r="S54" i="28"/>
  <c r="R79" i="28"/>
  <c r="R61" i="28"/>
  <c r="R81" i="28"/>
  <c r="R59" i="28"/>
  <c r="R73" i="28"/>
  <c r="R72" i="28"/>
  <c r="R74" i="28"/>
  <c r="R56" i="28"/>
  <c r="R71" i="28"/>
  <c r="R60" i="28"/>
  <c r="R63" i="28"/>
  <c r="R69" i="28"/>
  <c r="R82" i="28"/>
  <c r="R58" i="28"/>
  <c r="R57" i="28"/>
  <c r="R62" i="28"/>
  <c r="R75" i="28"/>
  <c r="R78" i="28"/>
  <c r="R76" i="28"/>
  <c r="R83" i="28"/>
  <c r="R67" i="28"/>
  <c r="R66" i="28"/>
  <c r="R55" i="28"/>
  <c r="R80" i="28"/>
  <c r="R70" i="28"/>
  <c r="R68" i="28"/>
  <c r="R64" i="28"/>
  <c r="R77" i="28"/>
  <c r="R65" i="28"/>
  <c r="F155" i="2"/>
  <c r="H91" i="2"/>
  <c r="E91" i="2"/>
  <c r="F91" i="2"/>
  <c r="G91" i="2"/>
  <c r="B63" i="5"/>
  <c r="B78" i="1" s="1"/>
  <c r="B62" i="5"/>
  <c r="B77" i="1" s="1"/>
  <c r="B81" i="1"/>
  <c r="B65" i="5"/>
  <c r="B80" i="1" s="1"/>
  <c r="B64" i="5"/>
  <c r="B79" i="1" s="1"/>
  <c r="J90" i="2"/>
  <c r="D91" i="2"/>
  <c r="I91" i="2" s="1"/>
  <c r="F76" i="1"/>
  <c r="I6" i="4"/>
  <c r="I5" i="4" s="1"/>
  <c r="H65" i="4"/>
  <c r="B19" i="1"/>
  <c r="B46" i="1"/>
  <c r="G28" i="28"/>
  <c r="G27" i="28"/>
  <c r="H105" i="4"/>
  <c r="F93" i="4"/>
  <c r="I5" i="10"/>
  <c r="I27" i="10" s="1"/>
  <c r="I105" i="4"/>
  <c r="E105" i="4"/>
  <c r="G5" i="5"/>
  <c r="E37" i="10"/>
  <c r="J89" i="2"/>
  <c r="G4" i="29"/>
  <c r="H6" i="29"/>
  <c r="H5" i="29" s="1"/>
  <c r="G36" i="29"/>
  <c r="F5" i="2"/>
  <c r="G6" i="2"/>
  <c r="F5" i="17"/>
  <c r="G6" i="17"/>
  <c r="J71" i="1"/>
  <c r="F5" i="11"/>
  <c r="G6" i="11"/>
  <c r="J72" i="1"/>
  <c r="H6" i="5"/>
  <c r="G104" i="2"/>
  <c r="F103" i="2"/>
  <c r="F156" i="2" s="1"/>
  <c r="F74" i="1"/>
  <c r="E188" i="2"/>
  <c r="G24" i="28"/>
  <c r="H25" i="28"/>
  <c r="F18" i="19"/>
  <c r="F42" i="17"/>
  <c r="F57" i="17" s="1"/>
  <c r="F54" i="19"/>
  <c r="F82" i="1" s="1"/>
  <c r="Y9" i="31"/>
  <c r="X8" i="31"/>
  <c r="B42" i="1"/>
  <c r="B16" i="1"/>
  <c r="E57" i="17"/>
  <c r="R9" i="30" l="1"/>
  <c r="S9" i="30" s="1"/>
  <c r="T9" i="30" s="1"/>
  <c r="D31" i="17"/>
  <c r="D34" i="17" s="1"/>
  <c r="G31" i="17"/>
  <c r="G34" i="17" s="1"/>
  <c r="H31" i="17"/>
  <c r="H34" i="17" s="1"/>
  <c r="F96" i="4"/>
  <c r="F97" i="4" s="1"/>
  <c r="E31" i="17"/>
  <c r="E34" i="17" s="1"/>
  <c r="F105" i="4"/>
  <c r="F38" i="17"/>
  <c r="F40" i="17" s="1"/>
  <c r="F66" i="17" s="1"/>
  <c r="H34" i="10"/>
  <c r="T54" i="28"/>
  <c r="S79" i="28"/>
  <c r="S75" i="28"/>
  <c r="S71" i="28"/>
  <c r="S62" i="28"/>
  <c r="S67" i="28"/>
  <c r="S78" i="28"/>
  <c r="S69" i="28"/>
  <c r="S55" i="28"/>
  <c r="S80" i="28"/>
  <c r="S57" i="28"/>
  <c r="S83" i="28"/>
  <c r="S64" i="28"/>
  <c r="S72" i="28"/>
  <c r="S76" i="28"/>
  <c r="S77" i="28"/>
  <c r="S70" i="28"/>
  <c r="S61" i="28"/>
  <c r="S66" i="28"/>
  <c r="S59" i="28"/>
  <c r="S68" i="28"/>
  <c r="S82" i="28"/>
  <c r="S63" i="28"/>
  <c r="S58" i="28"/>
  <c r="S81" i="28"/>
  <c r="S74" i="28"/>
  <c r="S65" i="28"/>
  <c r="G35" i="10" s="1"/>
  <c r="G37" i="10" s="1"/>
  <c r="S73" i="28"/>
  <c r="S60" i="28"/>
  <c r="S56" i="28"/>
  <c r="M54" i="28"/>
  <c r="L79" i="28"/>
  <c r="L73" i="28"/>
  <c r="L59" i="28"/>
  <c r="L77" i="28"/>
  <c r="L61" i="28"/>
  <c r="L75" i="28"/>
  <c r="L57" i="28"/>
  <c r="L80" i="28"/>
  <c r="L58" i="28"/>
  <c r="L71" i="28"/>
  <c r="L72" i="28"/>
  <c r="L66" i="28"/>
  <c r="L63" i="28"/>
  <c r="L70" i="28"/>
  <c r="L83" i="28"/>
  <c r="L62" i="28"/>
  <c r="L76" i="28"/>
  <c r="L69" i="28"/>
  <c r="L78" i="28"/>
  <c r="L67" i="28"/>
  <c r="L56" i="28"/>
  <c r="L82" i="28"/>
  <c r="L65" i="28"/>
  <c r="L55" i="28"/>
  <c r="L60" i="28"/>
  <c r="L68" i="28"/>
  <c r="L81" i="28"/>
  <c r="L74" i="28"/>
  <c r="L64" i="28"/>
  <c r="G155" i="2"/>
  <c r="B26" i="1"/>
  <c r="B53" i="1"/>
  <c r="B23" i="1"/>
  <c r="B50" i="1"/>
  <c r="B24" i="1"/>
  <c r="B51" i="1"/>
  <c r="B27" i="1"/>
  <c r="B54" i="1"/>
  <c r="B52" i="1"/>
  <c r="B25" i="1"/>
  <c r="I65" i="4"/>
  <c r="J91" i="2"/>
  <c r="G76" i="1"/>
  <c r="H28" i="28"/>
  <c r="H27" i="28"/>
  <c r="G38" i="17" s="1"/>
  <c r="G93" i="4"/>
  <c r="I6" i="29"/>
  <c r="I5" i="29" s="1"/>
  <c r="H4" i="29"/>
  <c r="H5" i="5"/>
  <c r="G18" i="19"/>
  <c r="H6" i="17"/>
  <c r="G5" i="17"/>
  <c r="I54" i="17"/>
  <c r="G74" i="1"/>
  <c r="G5" i="2"/>
  <c r="H6" i="2"/>
  <c r="I72" i="2" s="1"/>
  <c r="H6" i="11"/>
  <c r="H5" i="11" s="1"/>
  <c r="G5" i="11"/>
  <c r="I56" i="17"/>
  <c r="G103" i="2"/>
  <c r="G156" i="2" s="1"/>
  <c r="H104" i="2"/>
  <c r="H36" i="29"/>
  <c r="F188" i="2"/>
  <c r="Z9" i="31"/>
  <c r="Y8" i="31"/>
  <c r="I25" i="28"/>
  <c r="G42" i="17"/>
  <c r="G57" i="17" s="1"/>
  <c r="H24" i="28"/>
  <c r="G54" i="19"/>
  <c r="G82" i="1" s="1"/>
  <c r="B43" i="1"/>
  <c r="B15" i="1"/>
  <c r="J69" i="1"/>
  <c r="J81" i="1"/>
  <c r="J78" i="1"/>
  <c r="F31" i="29"/>
  <c r="B44" i="1"/>
  <c r="B17" i="1"/>
  <c r="B45" i="1"/>
  <c r="B18" i="1"/>
  <c r="J74" i="1"/>
  <c r="K75" i="1"/>
  <c r="J75" i="1"/>
  <c r="B41" i="1"/>
  <c r="B14" i="1"/>
  <c r="J70" i="1"/>
  <c r="J73" i="1"/>
  <c r="S8" i="30" l="1"/>
  <c r="R8" i="30"/>
  <c r="G40" i="17"/>
  <c r="G44" i="17" s="1"/>
  <c r="E40" i="17"/>
  <c r="F44" i="17"/>
  <c r="I34" i="10"/>
  <c r="N54" i="28"/>
  <c r="M63" i="28"/>
  <c r="M64" i="28"/>
  <c r="M56" i="28"/>
  <c r="M68" i="28"/>
  <c r="M55" i="28"/>
  <c r="M62" i="28"/>
  <c r="M57" i="28"/>
  <c r="M67" i="28"/>
  <c r="M58" i="28"/>
  <c r="M61" i="28"/>
  <c r="M65" i="28"/>
  <c r="M60" i="28"/>
  <c r="M59" i="28"/>
  <c r="M66" i="28"/>
  <c r="U54" i="28"/>
  <c r="T55" i="28"/>
  <c r="T63" i="28"/>
  <c r="T66" i="28"/>
  <c r="T59" i="28"/>
  <c r="T58" i="28"/>
  <c r="T60" i="28"/>
  <c r="T68" i="28"/>
  <c r="T56" i="28"/>
  <c r="T62" i="28"/>
  <c r="T65" i="28"/>
  <c r="H35" i="10" s="1"/>
  <c r="H37" i="10" s="1"/>
  <c r="T61" i="28"/>
  <c r="T57" i="28"/>
  <c r="T64" i="28"/>
  <c r="T67" i="28"/>
  <c r="H76" i="1"/>
  <c r="I28" i="28"/>
  <c r="I27" i="28"/>
  <c r="H38" i="17" s="1"/>
  <c r="H40" i="17" s="1"/>
  <c r="H93" i="4"/>
  <c r="H42" i="17"/>
  <c r="H57" i="17" s="1"/>
  <c r="I4" i="29"/>
  <c r="K78" i="1"/>
  <c r="I36" i="29"/>
  <c r="H5" i="2"/>
  <c r="I77" i="2"/>
  <c r="I71" i="2"/>
  <c r="I73" i="2" s="1"/>
  <c r="H5" i="17"/>
  <c r="I50" i="17"/>
  <c r="I48" i="17"/>
  <c r="I49" i="17"/>
  <c r="I47" i="17"/>
  <c r="I51" i="17"/>
  <c r="I52" i="17"/>
  <c r="I53" i="17"/>
  <c r="I78" i="2"/>
  <c r="H103" i="2"/>
  <c r="H156" i="2" s="1"/>
  <c r="G188" i="2"/>
  <c r="U9" i="30"/>
  <c r="T8" i="30"/>
  <c r="Z8" i="31"/>
  <c r="AA9" i="31"/>
  <c r="I24" i="28"/>
  <c r="J25" i="28"/>
  <c r="H18" i="19"/>
  <c r="H54" i="19"/>
  <c r="H82" i="1" s="1"/>
  <c r="H74" i="1"/>
  <c r="E31" i="29"/>
  <c r="J79" i="1"/>
  <c r="J80" i="1"/>
  <c r="K76" i="1" l="1"/>
  <c r="G66" i="17"/>
  <c r="E66" i="17"/>
  <c r="E44" i="17"/>
  <c r="U63" i="28"/>
  <c r="U57" i="28"/>
  <c r="U66" i="28"/>
  <c r="U67" i="28"/>
  <c r="U68" i="28"/>
  <c r="U64" i="28"/>
  <c r="U61" i="28"/>
  <c r="U59" i="28"/>
  <c r="U55" i="28"/>
  <c r="U62" i="28"/>
  <c r="U56" i="28"/>
  <c r="U65" i="28"/>
  <c r="I35" i="10" s="1"/>
  <c r="U60" i="28"/>
  <c r="U58" i="28"/>
  <c r="N56" i="28"/>
  <c r="N65" i="28"/>
  <c r="N66" i="28"/>
  <c r="N67" i="28"/>
  <c r="N68" i="28"/>
  <c r="N57" i="28"/>
  <c r="N64" i="28"/>
  <c r="N55" i="28"/>
  <c r="N60" i="28"/>
  <c r="N62" i="28"/>
  <c r="N63" i="28"/>
  <c r="N59" i="28"/>
  <c r="N61" i="28"/>
  <c r="N58" i="28"/>
  <c r="D54" i="19"/>
  <c r="D82" i="1" s="1"/>
  <c r="J28" i="28"/>
  <c r="J27" i="28"/>
  <c r="I93" i="4"/>
  <c r="H31" i="29"/>
  <c r="J24" i="28"/>
  <c r="K25" i="28"/>
  <c r="H66" i="17"/>
  <c r="H44" i="17"/>
  <c r="H188" i="2"/>
  <c r="AB9" i="31"/>
  <c r="AA8" i="31"/>
  <c r="G31" i="29"/>
  <c r="V9" i="30"/>
  <c r="V8" i="30" s="1"/>
  <c r="U8" i="30"/>
  <c r="J77" i="1"/>
  <c r="J67" i="1"/>
  <c r="J68" i="1"/>
  <c r="K69" i="1"/>
  <c r="I37" i="10" l="1"/>
  <c r="D42" i="17"/>
  <c r="D57" i="17" s="1"/>
  <c r="J57" i="17" s="1"/>
  <c r="H155" i="2"/>
  <c r="K82" i="1"/>
  <c r="D18" i="19"/>
  <c r="J82" i="1"/>
  <c r="D38" i="17"/>
  <c r="D40" i="17" s="1"/>
  <c r="E36" i="29"/>
  <c r="I31" i="29"/>
  <c r="K28" i="28"/>
  <c r="K27" i="28"/>
  <c r="K81" i="1"/>
  <c r="AB8" i="31"/>
  <c r="AC9" i="31"/>
  <c r="AC8" i="31" s="1"/>
  <c r="K24" i="28"/>
  <c r="K80" i="1"/>
  <c r="K79" i="1"/>
  <c r="K73" i="1"/>
  <c r="K72" i="1"/>
  <c r="K70" i="1"/>
  <c r="K71" i="1"/>
  <c r="I57" i="17" l="1"/>
  <c r="D66" i="17"/>
  <c r="D44" i="17"/>
  <c r="K67" i="1"/>
  <c r="K74" i="1"/>
  <c r="K77" i="1"/>
  <c r="K68" i="1"/>
  <c r="I44" i="17" l="1"/>
  <c r="J44" i="17"/>
  <c r="E93" i="4" l="1"/>
  <c r="D188" i="2" l="1"/>
  <c r="G44" i="2" l="1"/>
  <c r="G48" i="2" s="1"/>
  <c r="G65" i="2" s="1"/>
  <c r="F44" i="2"/>
  <c r="F48" i="2" s="1"/>
  <c r="F65" i="2" s="1"/>
  <c r="F15" i="2"/>
  <c r="H187" i="2"/>
  <c r="G187" i="2"/>
  <c r="E15" i="2"/>
  <c r="E20" i="2" s="1"/>
  <c r="E37" i="2" s="1"/>
  <c r="F187" i="2"/>
  <c r="E44" i="2"/>
  <c r="E49" i="2" s="1"/>
  <c r="E66" i="2" s="1"/>
  <c r="E187" i="2"/>
  <c r="J13" i="2"/>
  <c r="I13" i="2"/>
  <c r="D187" i="2"/>
  <c r="F19" i="2"/>
  <c r="F36" i="2" s="1"/>
  <c r="F20" i="2"/>
  <c r="F37" i="2" s="1"/>
  <c r="H44" i="2"/>
  <c r="J42" i="2"/>
  <c r="I42" i="2"/>
  <c r="J14" i="2"/>
  <c r="D15" i="2"/>
  <c r="I14" i="2"/>
  <c r="H15" i="2"/>
  <c r="G15" i="2"/>
  <c r="D44" i="2"/>
  <c r="J43" i="2"/>
  <c r="I43" i="2"/>
  <c r="E26" i="10"/>
  <c r="E20" i="10"/>
  <c r="I26" i="10"/>
  <c r="I20" i="10"/>
  <c r="H26" i="10"/>
  <c r="H20" i="10"/>
  <c r="G26" i="10"/>
  <c r="G20" i="10"/>
  <c r="F26" i="10"/>
  <c r="F20" i="10"/>
  <c r="I15" i="2" l="1"/>
  <c r="E48" i="2"/>
  <c r="E65" i="2" s="1"/>
  <c r="E19" i="2"/>
  <c r="E36" i="2" s="1"/>
  <c r="E38" i="2" s="1"/>
  <c r="F49" i="2"/>
  <c r="F66" i="2" s="1"/>
  <c r="G49" i="2"/>
  <c r="G66" i="2" s="1"/>
  <c r="G67" i="2" s="1"/>
  <c r="E67" i="2"/>
  <c r="E97" i="2"/>
  <c r="E66" i="1" s="1"/>
  <c r="J44" i="2"/>
  <c r="J15" i="2"/>
  <c r="D49" i="2"/>
  <c r="D48" i="2"/>
  <c r="G20" i="2"/>
  <c r="G37" i="2" s="1"/>
  <c r="G19" i="2"/>
  <c r="G36" i="2" s="1"/>
  <c r="F97" i="2"/>
  <c r="F66" i="1" s="1"/>
  <c r="H49" i="2"/>
  <c r="H66" i="2" s="1"/>
  <c r="H48" i="2"/>
  <c r="H65" i="2" s="1"/>
  <c r="H19" i="2"/>
  <c r="H36" i="2" s="1"/>
  <c r="H20" i="2"/>
  <c r="H37" i="2" s="1"/>
  <c r="F38" i="2"/>
  <c r="F96" i="2"/>
  <c r="E96" i="2"/>
  <c r="F67" i="2"/>
  <c r="I44" i="2"/>
  <c r="D19" i="2"/>
  <c r="D20" i="2"/>
  <c r="G97" i="2" l="1"/>
  <c r="G66" i="1" s="1"/>
  <c r="F98" i="2"/>
  <c r="E98" i="2"/>
  <c r="H67" i="2"/>
  <c r="J19" i="2"/>
  <c r="D36" i="2"/>
  <c r="I19" i="2"/>
  <c r="H38" i="2"/>
  <c r="H96" i="2"/>
  <c r="G38" i="2"/>
  <c r="G96" i="2"/>
  <c r="D65" i="2"/>
  <c r="J48" i="2"/>
  <c r="I48" i="2"/>
  <c r="D37" i="2"/>
  <c r="J20" i="2"/>
  <c r="I20" i="2"/>
  <c r="H97" i="2"/>
  <c r="H66" i="1" s="1"/>
  <c r="D66" i="2"/>
  <c r="J49" i="2"/>
  <c r="I49" i="2"/>
  <c r="G98" i="2" l="1"/>
  <c r="D67" i="2"/>
  <c r="J65" i="2"/>
  <c r="I65" i="2"/>
  <c r="H98" i="2"/>
  <c r="J66" i="2"/>
  <c r="I66" i="2"/>
  <c r="I37" i="2"/>
  <c r="J37" i="2"/>
  <c r="D97" i="2"/>
  <c r="D38" i="2"/>
  <c r="J36" i="2"/>
  <c r="I36" i="2"/>
  <c r="D96" i="2"/>
  <c r="I96" i="2" l="1"/>
  <c r="D98" i="2"/>
  <c r="J96" i="2"/>
  <c r="I38" i="2"/>
  <c r="J38" i="2"/>
  <c r="J97" i="2"/>
  <c r="D66" i="1"/>
  <c r="I97" i="2"/>
  <c r="J67" i="2"/>
  <c r="I67" i="2"/>
  <c r="J66" i="1" l="1"/>
  <c r="K66" i="1"/>
  <c r="I98" i="2"/>
  <c r="J98" i="2"/>
  <c r="E23" i="10" l="1"/>
  <c r="E24" i="10" s="1"/>
  <c r="F23" i="10"/>
  <c r="H23" i="10"/>
  <c r="I23" i="10"/>
  <c r="G23" i="10"/>
  <c r="F15" i="10" l="1"/>
  <c r="F17" i="10" s="1"/>
  <c r="F24" i="10" s="1"/>
  <c r="E27" i="10"/>
  <c r="E32" i="10"/>
  <c r="E41" i="10"/>
  <c r="D57" i="27" l="1"/>
  <c r="D64" i="27"/>
  <c r="E40" i="10"/>
  <c r="E39" i="10"/>
  <c r="E43" i="10" s="1"/>
  <c r="G15" i="10"/>
  <c r="G17" i="10" s="1"/>
  <c r="G24" i="10" s="1"/>
  <c r="F32" i="10"/>
  <c r="E57" i="27" s="1"/>
  <c r="F41" i="10"/>
  <c r="E56" i="27" l="1"/>
  <c r="E58" i="27"/>
  <c r="F40" i="10"/>
  <c r="F39" i="10"/>
  <c r="F43" i="10" s="1"/>
  <c r="E64" i="27"/>
  <c r="D77" i="17"/>
  <c r="D83" i="17" s="1"/>
  <c r="D90" i="1"/>
  <c r="E44" i="10"/>
  <c r="D65" i="1" s="1"/>
  <c r="H15" i="10"/>
  <c r="H17" i="10" s="1"/>
  <c r="H24" i="10" s="1"/>
  <c r="G32" i="10"/>
  <c r="F57" i="27" s="1"/>
  <c r="G41" i="10"/>
  <c r="D58" i="27"/>
  <c r="D62" i="27" s="1"/>
  <c r="D65" i="27" s="1"/>
  <c r="D56" i="27"/>
  <c r="E45" i="10" l="1"/>
  <c r="J24" i="1"/>
  <c r="J23" i="1"/>
  <c r="J25" i="1"/>
  <c r="J27" i="1"/>
  <c r="J26" i="1"/>
  <c r="J22" i="1"/>
  <c r="J28" i="1"/>
  <c r="D67" i="27"/>
  <c r="D64" i="17"/>
  <c r="J21" i="1"/>
  <c r="D15" i="1"/>
  <c r="J16" i="1"/>
  <c r="D25" i="1"/>
  <c r="D16" i="1"/>
  <c r="J18" i="1"/>
  <c r="J12" i="1"/>
  <c r="J17" i="1"/>
  <c r="D21" i="1"/>
  <c r="D19" i="1"/>
  <c r="D24" i="1"/>
  <c r="J20" i="1"/>
  <c r="D12" i="1"/>
  <c r="J15" i="1"/>
  <c r="D27" i="1"/>
  <c r="D23" i="1"/>
  <c r="D18" i="1"/>
  <c r="D26" i="1"/>
  <c r="J19" i="1"/>
  <c r="D20" i="1"/>
  <c r="D22" i="1"/>
  <c r="D17" i="1"/>
  <c r="D14" i="1"/>
  <c r="J14" i="1"/>
  <c r="J13" i="1"/>
  <c r="D13" i="1"/>
  <c r="D28" i="1"/>
  <c r="D63" i="27"/>
  <c r="D91" i="1" s="1"/>
  <c r="D60" i="27"/>
  <c r="E44" i="29"/>
  <c r="E77" i="17"/>
  <c r="F56" i="27"/>
  <c r="F58" i="27"/>
  <c r="F44" i="10"/>
  <c r="E65" i="1" s="1"/>
  <c r="E90" i="1"/>
  <c r="I83" i="17"/>
  <c r="E62" i="27"/>
  <c r="E65" i="27" s="1"/>
  <c r="E63" i="27"/>
  <c r="E91" i="1" s="1"/>
  <c r="I15" i="10"/>
  <c r="I17" i="10" s="1"/>
  <c r="I24" i="10" s="1"/>
  <c r="H32" i="10"/>
  <c r="G57" i="27" s="1"/>
  <c r="H41" i="10"/>
  <c r="E60" i="27"/>
  <c r="F44" i="29"/>
  <c r="G39" i="10"/>
  <c r="G43" i="10" s="1"/>
  <c r="G40" i="10"/>
  <c r="F64" i="27"/>
  <c r="D11" i="1"/>
  <c r="J11" i="1"/>
  <c r="J65" i="1"/>
  <c r="J83" i="1" s="1"/>
  <c r="D83" i="1"/>
  <c r="D38" i="1" l="1"/>
  <c r="J54" i="1"/>
  <c r="J55" i="1"/>
  <c r="J49" i="1"/>
  <c r="J52" i="1"/>
  <c r="J53" i="1"/>
  <c r="J50" i="1"/>
  <c r="J51" i="1"/>
  <c r="J38" i="1"/>
  <c r="J29" i="1"/>
  <c r="E65" i="29"/>
  <c r="G44" i="10"/>
  <c r="F65" i="1" s="1"/>
  <c r="F90" i="1"/>
  <c r="G56" i="27"/>
  <c r="G58" i="27"/>
  <c r="E14" i="1"/>
  <c r="E27" i="1"/>
  <c r="E22" i="1"/>
  <c r="E26" i="1"/>
  <c r="E24" i="1"/>
  <c r="E12" i="1"/>
  <c r="E13" i="1"/>
  <c r="E17" i="1"/>
  <c r="E25" i="1"/>
  <c r="E28" i="1"/>
  <c r="E20" i="1"/>
  <c r="E21" i="1"/>
  <c r="E19" i="1"/>
  <c r="E16" i="1"/>
  <c r="E23" i="1"/>
  <c r="E18" i="1"/>
  <c r="E15" i="1"/>
  <c r="J39" i="1"/>
  <c r="D52" i="1"/>
  <c r="D49" i="1"/>
  <c r="D41" i="1"/>
  <c r="J43" i="1"/>
  <c r="J47" i="1"/>
  <c r="D51" i="1"/>
  <c r="J41" i="1"/>
  <c r="J40" i="1"/>
  <c r="D48" i="1"/>
  <c r="D43" i="1"/>
  <c r="D45" i="1"/>
  <c r="J44" i="1"/>
  <c r="D42" i="1"/>
  <c r="J46" i="1"/>
  <c r="D40" i="1"/>
  <c r="D53" i="1"/>
  <c r="J45" i="1"/>
  <c r="D44" i="1"/>
  <c r="J48" i="1"/>
  <c r="D54" i="1"/>
  <c r="J42" i="1"/>
  <c r="D50" i="1"/>
  <c r="D39" i="1"/>
  <c r="D47" i="1"/>
  <c r="D46" i="1"/>
  <c r="D55" i="1"/>
  <c r="I32" i="10"/>
  <c r="H57" i="27" s="1"/>
  <c r="I41" i="10"/>
  <c r="E11" i="1"/>
  <c r="E38" i="1"/>
  <c r="E83" i="1"/>
  <c r="H39" i="10"/>
  <c r="H43" i="10" s="1"/>
  <c r="H40" i="10"/>
  <c r="G64" i="27"/>
  <c r="F63" i="27"/>
  <c r="F91" i="1" s="1"/>
  <c r="F62" i="27"/>
  <c r="F65" i="27" s="1"/>
  <c r="E53" i="1"/>
  <c r="E49" i="1"/>
  <c r="E45" i="1"/>
  <c r="E41" i="1"/>
  <c r="E46" i="1"/>
  <c r="E50" i="1"/>
  <c r="E39" i="1"/>
  <c r="E42" i="1"/>
  <c r="E40" i="1"/>
  <c r="E47" i="1"/>
  <c r="E52" i="1"/>
  <c r="E48" i="1"/>
  <c r="E55" i="1"/>
  <c r="E43" i="1"/>
  <c r="E54" i="1"/>
  <c r="E51" i="1"/>
  <c r="E44" i="1"/>
  <c r="G44" i="29"/>
  <c r="F60" i="27"/>
  <c r="E67" i="27"/>
  <c r="E64" i="17"/>
  <c r="F77" i="17"/>
  <c r="G45" i="10"/>
  <c r="F45" i="10"/>
  <c r="D29" i="1"/>
  <c r="D71" i="17"/>
  <c r="D67" i="17"/>
  <c r="D68" i="17" s="1"/>
  <c r="D70" i="17" s="1"/>
  <c r="E83" i="17"/>
  <c r="J56" i="1" l="1"/>
  <c r="G90" i="1"/>
  <c r="H44" i="10"/>
  <c r="G65" i="1" s="1"/>
  <c r="H64" i="27"/>
  <c r="I40" i="10"/>
  <c r="I39" i="10"/>
  <c r="I43" i="10" s="1"/>
  <c r="H44" i="29"/>
  <c r="G60" i="27"/>
  <c r="H58" i="27"/>
  <c r="H56" i="27"/>
  <c r="G77" i="17"/>
  <c r="G83" i="17" s="1"/>
  <c r="F27" i="1"/>
  <c r="F16" i="1"/>
  <c r="F12" i="1"/>
  <c r="F28" i="1"/>
  <c r="F14" i="1"/>
  <c r="F15" i="1"/>
  <c r="F18" i="1"/>
  <c r="F13" i="1"/>
  <c r="F20" i="1"/>
  <c r="F25" i="1"/>
  <c r="F17" i="1"/>
  <c r="F21" i="1"/>
  <c r="F24" i="1"/>
  <c r="F26" i="1"/>
  <c r="F23" i="1"/>
  <c r="F19" i="1"/>
  <c r="F22" i="1"/>
  <c r="F83" i="1"/>
  <c r="F11" i="1"/>
  <c r="F38" i="1"/>
  <c r="F83" i="17"/>
  <c r="F67" i="27"/>
  <c r="F64" i="17"/>
  <c r="D56" i="1"/>
  <c r="D85" i="17"/>
  <c r="I70" i="17"/>
  <c r="E56" i="1"/>
  <c r="I71" i="17"/>
  <c r="E71" i="17"/>
  <c r="E67" i="17"/>
  <c r="E68" i="17" s="1"/>
  <c r="E70" i="17" s="1"/>
  <c r="F55" i="1"/>
  <c r="F42" i="1"/>
  <c r="F43" i="1"/>
  <c r="F41" i="1"/>
  <c r="F48" i="1"/>
  <c r="F39" i="1"/>
  <c r="F47" i="1"/>
  <c r="F53" i="1"/>
  <c r="F44" i="1"/>
  <c r="F45" i="1"/>
  <c r="F46" i="1"/>
  <c r="F51" i="1"/>
  <c r="F54" i="1"/>
  <c r="F40" i="1"/>
  <c r="F50" i="1"/>
  <c r="F52" i="1"/>
  <c r="F49" i="1"/>
  <c r="G63" i="27"/>
  <c r="G91" i="1" s="1"/>
  <c r="G62" i="27"/>
  <c r="G65" i="27" s="1"/>
  <c r="E29" i="1"/>
  <c r="H77" i="17" l="1"/>
  <c r="I44" i="10"/>
  <c r="H65" i="1" s="1"/>
  <c r="H90" i="1"/>
  <c r="K19" i="1" s="1"/>
  <c r="H62" i="27"/>
  <c r="H65" i="27" s="1"/>
  <c r="H63" i="27"/>
  <c r="H91" i="1" s="1"/>
  <c r="K40" i="1" s="1"/>
  <c r="F71" i="17"/>
  <c r="F67" i="17"/>
  <c r="F68" i="17" s="1"/>
  <c r="F70" i="17" s="1"/>
  <c r="F29" i="1"/>
  <c r="I44" i="29"/>
  <c r="H60" i="27"/>
  <c r="G11" i="1"/>
  <c r="G38" i="1"/>
  <c r="G83" i="1"/>
  <c r="G27" i="1"/>
  <c r="G20" i="1"/>
  <c r="G18" i="1"/>
  <c r="G21" i="1"/>
  <c r="G25" i="1"/>
  <c r="G12" i="1"/>
  <c r="G24" i="1"/>
  <c r="G26" i="1"/>
  <c r="G22" i="1"/>
  <c r="G23" i="1"/>
  <c r="G16" i="1"/>
  <c r="G15" i="1"/>
  <c r="G28" i="1"/>
  <c r="G19" i="1"/>
  <c r="G17" i="1"/>
  <c r="G13" i="1"/>
  <c r="G14" i="1"/>
  <c r="K14" i="1"/>
  <c r="F56" i="1"/>
  <c r="F65" i="29"/>
  <c r="G64" i="17"/>
  <c r="G67" i="27"/>
  <c r="G39" i="1"/>
  <c r="G46" i="1"/>
  <c r="G52" i="1"/>
  <c r="G50" i="1"/>
  <c r="G43" i="1"/>
  <c r="G53" i="1"/>
  <c r="G40" i="1"/>
  <c r="G44" i="1"/>
  <c r="G45" i="1"/>
  <c r="G54" i="1"/>
  <c r="G47" i="1"/>
  <c r="G49" i="1"/>
  <c r="G42" i="1"/>
  <c r="G51" i="1"/>
  <c r="G55" i="1"/>
  <c r="G48" i="1"/>
  <c r="G41" i="1"/>
  <c r="E85" i="17"/>
  <c r="I85" i="17"/>
  <c r="D87" i="17"/>
  <c r="H45" i="10"/>
  <c r="K13" i="1" l="1"/>
  <c r="K21" i="1"/>
  <c r="K23" i="1"/>
  <c r="K27" i="1"/>
  <c r="K26" i="1"/>
  <c r="K22" i="1"/>
  <c r="K25" i="1"/>
  <c r="K28" i="1"/>
  <c r="K24" i="1"/>
  <c r="K49" i="1"/>
  <c r="K52" i="1"/>
  <c r="K55" i="1"/>
  <c r="K50" i="1"/>
  <c r="K54" i="1"/>
  <c r="K53" i="1"/>
  <c r="K51" i="1"/>
  <c r="K41" i="1"/>
  <c r="K48" i="1"/>
  <c r="H27" i="1"/>
  <c r="H17" i="1"/>
  <c r="H18" i="1"/>
  <c r="H20" i="1"/>
  <c r="H16" i="1"/>
  <c r="H12" i="1"/>
  <c r="H15" i="1"/>
  <c r="H23" i="1"/>
  <c r="H19" i="1"/>
  <c r="H21" i="1"/>
  <c r="H26" i="1"/>
  <c r="H13" i="1"/>
  <c r="H24" i="1"/>
  <c r="H14" i="1"/>
  <c r="H22" i="1"/>
  <c r="H25" i="1"/>
  <c r="H28" i="1"/>
  <c r="K15" i="1"/>
  <c r="K17" i="1"/>
  <c r="K12" i="1"/>
  <c r="K18" i="1"/>
  <c r="H11" i="1"/>
  <c r="H83" i="1"/>
  <c r="H38" i="1"/>
  <c r="K38" i="1"/>
  <c r="K65" i="1"/>
  <c r="K83" i="1" s="1"/>
  <c r="K11" i="1"/>
  <c r="K42" i="1"/>
  <c r="F85" i="17"/>
  <c r="K44" i="1"/>
  <c r="K43" i="1"/>
  <c r="E87" i="17"/>
  <c r="H49" i="1"/>
  <c r="H41" i="1"/>
  <c r="H48" i="1"/>
  <c r="H45" i="1"/>
  <c r="H53" i="1"/>
  <c r="H55" i="1"/>
  <c r="H40" i="1"/>
  <c r="H43" i="1"/>
  <c r="H42" i="1"/>
  <c r="H39" i="1"/>
  <c r="H54" i="1"/>
  <c r="H52" i="1"/>
  <c r="H47" i="1"/>
  <c r="H44" i="1"/>
  <c r="H46" i="1"/>
  <c r="H51" i="1"/>
  <c r="H50" i="1"/>
  <c r="K39" i="1"/>
  <c r="K46" i="1"/>
  <c r="I87" i="17"/>
  <c r="G56" i="1"/>
  <c r="G29" i="1"/>
  <c r="H67" i="27"/>
  <c r="H64" i="17"/>
  <c r="I45" i="10"/>
  <c r="H65" i="29"/>
  <c r="K20" i="1"/>
  <c r="K16" i="1"/>
  <c r="H83" i="17"/>
  <c r="K45" i="1"/>
  <c r="E67" i="29"/>
  <c r="E47" i="29"/>
  <c r="G71" i="17"/>
  <c r="G67" i="17"/>
  <c r="G68" i="17" s="1"/>
  <c r="G70" i="17" s="1"/>
  <c r="G65" i="29"/>
  <c r="K47" i="1"/>
  <c r="G85" i="17" l="1"/>
  <c r="J83" i="17"/>
  <c r="K29" i="1"/>
  <c r="F67" i="29"/>
  <c r="F47" i="29"/>
  <c r="K56" i="1"/>
  <c r="H56" i="1"/>
  <c r="H29" i="1"/>
  <c r="D84" i="1"/>
  <c r="E68" i="29"/>
  <c r="D85" i="1" s="1"/>
  <c r="H71" i="17"/>
  <c r="J71" i="17" s="1"/>
  <c r="H67" i="17"/>
  <c r="H68" i="17" s="1"/>
  <c r="H70" i="17" s="1"/>
  <c r="J70" i="17" s="1"/>
  <c r="F87" i="17"/>
  <c r="G87" i="17" l="1"/>
  <c r="H85" i="17"/>
  <c r="H67" i="29"/>
  <c r="H47" i="29"/>
  <c r="F68" i="29"/>
  <c r="E85" i="1" s="1"/>
  <c r="E84" i="1"/>
  <c r="D57" i="1"/>
  <c r="J85" i="1"/>
  <c r="G67" i="29"/>
  <c r="G47" i="29"/>
  <c r="J84" i="1"/>
  <c r="D30" i="1"/>
  <c r="J30" i="1"/>
  <c r="J57" i="1"/>
  <c r="I65" i="29"/>
  <c r="H87" i="17" l="1"/>
  <c r="J87" i="17" s="1"/>
  <c r="J85" i="17"/>
  <c r="H68" i="29"/>
  <c r="G85" i="1" s="1"/>
  <c r="G84" i="1"/>
  <c r="G68" i="29"/>
  <c r="F85" i="1" s="1"/>
  <c r="F84" i="1"/>
  <c r="E30" i="1"/>
  <c r="E57" i="1"/>
  <c r="I67" i="29" l="1"/>
  <c r="I47" i="29"/>
  <c r="G30" i="1"/>
  <c r="G57" i="1"/>
  <c r="F30" i="1"/>
  <c r="F57" i="1"/>
  <c r="H84" i="1" l="1"/>
  <c r="I68" i="29"/>
  <c r="H85" i="1" s="1"/>
  <c r="K85" i="1" s="1"/>
  <c r="H57" i="1" l="1"/>
  <c r="K84" i="1"/>
  <c r="K30" i="1"/>
  <c r="K57" i="1"/>
  <c r="H30" i="1"/>
  <c r="E34" i="29" l="1"/>
  <c r="E102" i="4" s="1"/>
  <c r="E46" i="29" l="1"/>
  <c r="E48" i="29" s="1"/>
  <c r="E50" i="29" s="1"/>
  <c r="E60" i="29" s="1"/>
  <c r="E38" i="29"/>
  <c r="E58" i="29" s="1"/>
  <c r="E103" i="4"/>
  <c r="E106" i="4"/>
  <c r="E107" i="4" s="1"/>
  <c r="E62" i="29" l="1"/>
  <c r="D87" i="1" s="1"/>
  <c r="D86" i="1"/>
  <c r="D31" i="1" s="1"/>
  <c r="D32" i="1" s="1"/>
  <c r="J31" i="1"/>
  <c r="J32" i="1" s="1"/>
  <c r="J86" i="1"/>
  <c r="D88" i="1"/>
  <c r="J58" i="1"/>
  <c r="J59" i="1" s="1"/>
  <c r="D58" i="1"/>
  <c r="D59" i="1" s="1"/>
  <c r="J87" i="1"/>
  <c r="J88" i="1" l="1"/>
  <c r="F34" i="29" l="1"/>
  <c r="F38" i="29" s="1"/>
  <c r="F58" i="29" s="1"/>
  <c r="F46" i="29" l="1"/>
  <c r="F48" i="29" s="1"/>
  <c r="F50" i="29" s="1"/>
  <c r="F60" i="29" s="1"/>
  <c r="E86" i="1" s="1"/>
  <c r="E31" i="1" s="1"/>
  <c r="E32" i="1" s="1"/>
  <c r="F102" i="4"/>
  <c r="F103" i="4" s="1"/>
  <c r="F106" i="4" l="1"/>
  <c r="F107" i="4" s="1"/>
  <c r="F62" i="29"/>
  <c r="E87" i="1" s="1"/>
  <c r="E58" i="1" s="1"/>
  <c r="E59" i="1" s="1"/>
  <c r="E88" i="1"/>
  <c r="G34" i="29" l="1"/>
  <c r="G38" i="29" s="1"/>
  <c r="G58" i="29" s="1"/>
  <c r="G102" i="4"/>
  <c r="G46" i="29" l="1"/>
  <c r="G48" i="29" s="1"/>
  <c r="G50" i="29" s="1"/>
  <c r="G60" i="29" s="1"/>
  <c r="F86" i="1" s="1"/>
  <c r="F31" i="1" s="1"/>
  <c r="F32" i="1" s="1"/>
  <c r="G103" i="4"/>
  <c r="G106" i="4"/>
  <c r="G107" i="4" s="1"/>
  <c r="G62" i="29" l="1"/>
  <c r="F87" i="1" s="1"/>
  <c r="F58" i="1" s="1"/>
  <c r="F59" i="1" s="1"/>
  <c r="F88" i="1" l="1"/>
  <c r="H34" i="29" l="1"/>
  <c r="H38" i="29" s="1"/>
  <c r="H58" i="29" s="1"/>
  <c r="H102" i="4"/>
  <c r="H46" i="29" l="1"/>
  <c r="H48" i="29" s="1"/>
  <c r="H50" i="29" s="1"/>
  <c r="H60" i="29" s="1"/>
  <c r="G86" i="1" s="1"/>
  <c r="G31" i="1" s="1"/>
  <c r="G32" i="1" s="1"/>
  <c r="H103" i="4"/>
  <c r="H106" i="4"/>
  <c r="H107" i="4" s="1"/>
  <c r="H62" i="29" l="1"/>
  <c r="G87" i="1" s="1"/>
  <c r="G88" i="1" s="1"/>
  <c r="G58" i="1"/>
  <c r="G59" i="1" s="1"/>
  <c r="I34" i="29" l="1"/>
  <c r="I38" i="29" s="1"/>
  <c r="I58" i="29" s="1"/>
  <c r="I102" i="4"/>
  <c r="I46" i="29" l="1"/>
  <c r="I48" i="29" s="1"/>
  <c r="I50" i="29" s="1"/>
  <c r="I60" i="29" s="1"/>
  <c r="H86" i="1" s="1"/>
  <c r="H31" i="1" s="1"/>
  <c r="H32" i="1" s="1"/>
  <c r="I103" i="4"/>
  <c r="I106" i="4"/>
  <c r="I107" i="4" s="1"/>
  <c r="K31" i="1" l="1"/>
  <c r="K32" i="1" s="1"/>
  <c r="K86" i="1"/>
  <c r="I62" i="29"/>
  <c r="H87" i="1" s="1"/>
  <c r="K87" i="1" s="1"/>
  <c r="K88" i="1" s="1"/>
  <c r="H88" i="1"/>
  <c r="H58" i="1" l="1"/>
  <c r="H59" i="1" s="1"/>
  <c r="K58" i="1"/>
  <c r="K59" i="1" s="1"/>
  <c r="E15" i="4" l="1"/>
  <c r="E18" i="4" s="1"/>
  <c r="E20" i="4" s="1"/>
</calcChain>
</file>

<file path=xl/sharedStrings.xml><?xml version="1.0" encoding="utf-8"?>
<sst xmlns="http://schemas.openxmlformats.org/spreadsheetml/2006/main" count="4257" uniqueCount="1398">
  <si>
    <t>Regulatory Financial Performance Report</t>
  </si>
  <si>
    <t xml:space="preserve">                           </t>
  </si>
  <si>
    <t>RIIO-2 start date (enter 2022 for 2021-22)</t>
  </si>
  <si>
    <t>Licensee</t>
  </si>
  <si>
    <t>NGGT (TO+SO)</t>
  </si>
  <si>
    <t>Input cells</t>
  </si>
  <si>
    <t>Sector</t>
  </si>
  <si>
    <t>Totals cells (of formula within worksheet)</t>
  </si>
  <si>
    <t>Reporting Year:
(enter 2022 for 2021-22)</t>
  </si>
  <si>
    <t xml:space="preserve">Linked cells </t>
  </si>
  <si>
    <t>Version (Number)</t>
  </si>
  <si>
    <t>Referencing to other workbooks (Eg. PCFM/ RRP)</t>
  </si>
  <si>
    <t>Submitted Date:</t>
  </si>
  <si>
    <t>Check cells</t>
  </si>
  <si>
    <t>No Input</t>
  </si>
  <si>
    <t>Descriptions and pack data</t>
  </si>
  <si>
    <t>Network Operator Data</t>
  </si>
  <si>
    <t>Cost of Equity</t>
  </si>
  <si>
    <t>Materiality £m</t>
  </si>
  <si>
    <t>ED</t>
  </si>
  <si>
    <t>£m 20/21</t>
  </si>
  <si>
    <t>Sharing Factor</t>
  </si>
  <si>
    <t>ET</t>
  </si>
  <si>
    <t>£m 18/19</t>
  </si>
  <si>
    <t>Notional Gearing</t>
  </si>
  <si>
    <t>GD</t>
  </si>
  <si>
    <t>Price basis</t>
  </si>
  <si>
    <t>GT</t>
  </si>
  <si>
    <t>ESO</t>
  </si>
  <si>
    <t>Combined RPI-CPIH price index</t>
  </si>
  <si>
    <t>Actual / Forecast index</t>
  </si>
  <si>
    <t>Year end</t>
  </si>
  <si>
    <t>Reporting Year</t>
  </si>
  <si>
    <t>Financial Year Average RPI - CPIH (PIt)</t>
  </si>
  <si>
    <t>Combined RPI-CPIH price index (financial year end)</t>
  </si>
  <si>
    <t>Corporate Tax</t>
  </si>
  <si>
    <t>Consumer Prices Index incl. housing costs (financial year average)</t>
  </si>
  <si>
    <t>Long term CPIH inflation forecast</t>
  </si>
  <si>
    <t>LTCPIHt</t>
  </si>
  <si>
    <t>RPI-CPIH real to nominal prices CF</t>
  </si>
  <si>
    <t>1 year change in Fin Year Average RPI-CPIH</t>
  </si>
  <si>
    <t>Combined real to nominal prices conversion factor (financial year end)</t>
  </si>
  <si>
    <t>Allowed cost of debt %</t>
  </si>
  <si>
    <t>WPD</t>
  </si>
  <si>
    <t>ED - excluding WPD</t>
  </si>
  <si>
    <t>SHET</t>
  </si>
  <si>
    <t>ET - excluding SHET</t>
  </si>
  <si>
    <t>GD with Uplift</t>
  </si>
  <si>
    <t>Allowed cost of equity %</t>
  </si>
  <si>
    <t>ED2</t>
  </si>
  <si>
    <t>ET2</t>
  </si>
  <si>
    <t>GD2</t>
  </si>
  <si>
    <t>GT2</t>
  </si>
  <si>
    <t>ESO2</t>
  </si>
  <si>
    <t>Funding Adjustment Rate (Sharing Factor)</t>
  </si>
  <si>
    <t>Gearing</t>
  </si>
  <si>
    <t>RIIO2 Start FY</t>
  </si>
  <si>
    <t>Price Basis</t>
  </si>
  <si>
    <t>CoD Category</t>
  </si>
  <si>
    <t>Allowed cost of debt</t>
  </si>
  <si>
    <t>Allowed cost of equity</t>
  </si>
  <si>
    <t>Default</t>
  </si>
  <si>
    <t>ENWL</t>
  </si>
  <si>
    <t>NPgN</t>
  </si>
  <si>
    <t>NPgY</t>
  </si>
  <si>
    <t>UKPN-EPN</t>
  </si>
  <si>
    <t>UKPN-LPN</t>
  </si>
  <si>
    <t>UKPN-SPN</t>
  </si>
  <si>
    <t>SPD</t>
  </si>
  <si>
    <t>SPMW</t>
  </si>
  <si>
    <t>SSEH</t>
  </si>
  <si>
    <t>SSES</t>
  </si>
  <si>
    <t>WPD-EMID</t>
  </si>
  <si>
    <t>WPD-WMID</t>
  </si>
  <si>
    <t>WPD-SWALES</t>
  </si>
  <si>
    <t>WPD-SWEST</t>
  </si>
  <si>
    <t>Cadent-EOE</t>
  </si>
  <si>
    <t>Cadent-London</t>
  </si>
  <si>
    <t>Cadent-WM</t>
  </si>
  <si>
    <t>Cadent-NW</t>
  </si>
  <si>
    <t>NGN</t>
  </si>
  <si>
    <t>SGN - Scotland</t>
  </si>
  <si>
    <t>SGN - Southern</t>
  </si>
  <si>
    <t>WWU</t>
  </si>
  <si>
    <t>NGGT (TO)</t>
  </si>
  <si>
    <t>NGGT (SO)</t>
  </si>
  <si>
    <t>NGET (TO)</t>
  </si>
  <si>
    <t>SPT</t>
  </si>
  <si>
    <r>
      <t>Business Plan Incentive (BPI</t>
    </r>
    <r>
      <rPr>
        <vertAlign val="subscript"/>
        <sz val="10"/>
        <color theme="1"/>
        <rFont val="Verdana"/>
        <family val="2"/>
      </rPr>
      <t>t</t>
    </r>
    <r>
      <rPr>
        <sz val="10"/>
        <color theme="1"/>
        <rFont val="Verdana"/>
        <family val="2"/>
      </rPr>
      <t>)</t>
    </r>
  </si>
  <si>
    <t>Output incentives for each sector used to populate R4</t>
  </si>
  <si>
    <t>Input for R4 - Output Incentives</t>
  </si>
  <si>
    <t>Broad measure of customer service</t>
  </si>
  <si>
    <t>Interruptions-related quality of service</t>
  </si>
  <si>
    <t>Incentive on connections engagement</t>
  </si>
  <si>
    <t>Time to Connect Incentive</t>
  </si>
  <si>
    <t>Losses discretionary reward scheme</t>
  </si>
  <si>
    <t>Customer Satisfaction Survey ODI</t>
  </si>
  <si>
    <t>Complaints metric ODI</t>
  </si>
  <si>
    <t>Unplanned Interruption Mean Duration ODI [NGN, SGN and WWU]</t>
  </si>
  <si>
    <t>Unplanned Interruption Mean Duration ODI [Cadent only]</t>
  </si>
  <si>
    <t>Shrinkage Management ODI</t>
  </si>
  <si>
    <t>Collaborative streetworks ODI [Cadent Lon &amp; EoE, SGN So only]</t>
  </si>
  <si>
    <t>Customer satisfaction survey ODI</t>
  </si>
  <si>
    <t>Environmental scorecard ODI</t>
  </si>
  <si>
    <t xml:space="preserve">Energy not supplied ODI </t>
  </si>
  <si>
    <t>Reporting &amp; Incentive Arrangements (ESORIt)</t>
  </si>
  <si>
    <t xml:space="preserve">Insulation And Interruption Gas emissions ODI </t>
  </si>
  <si>
    <t xml:space="preserve">Timely Connections ODI </t>
  </si>
  <si>
    <t xml:space="preserve">Quality of connections satisfaction survey ODI </t>
  </si>
  <si>
    <t>SO-TO Optimisation ODI</t>
  </si>
  <si>
    <t xml:space="preserve">Environmental scorecard ODI </t>
  </si>
  <si>
    <t>Other Revenue Allowances (ORA) - Innovation and Incentives only, for each sector used to populate R4</t>
  </si>
  <si>
    <t>Input for R4 - Other Revenue Allowances</t>
  </si>
  <si>
    <t xml:space="preserve">RIIO-2 network innovation allowance </t>
  </si>
  <si>
    <t xml:space="preserve">Carry-over Network Innovation Allowance </t>
  </si>
  <si>
    <t>Network Innovation Allowance</t>
  </si>
  <si>
    <t>Carry Over RIIO-1 Network Innovation Allowance</t>
  </si>
  <si>
    <t>Strategic Innovation Fund</t>
  </si>
  <si>
    <t>Constraint management incentive revenue</t>
  </si>
  <si>
    <t xml:space="preserve">Residual balancing incentive </t>
  </si>
  <si>
    <t xml:space="preserve">Quality of demand forecasting incentive </t>
  </si>
  <si>
    <t>Greenhouse gas emissions incentive</t>
  </si>
  <si>
    <t xml:space="preserve">Maintenance incentive </t>
  </si>
  <si>
    <t>User interface for R5a and R6a worksheets for drop down lists</t>
  </si>
  <si>
    <t>Bond or loan types</t>
  </si>
  <si>
    <t>Fixed rate</t>
  </si>
  <si>
    <t>Floating</t>
  </si>
  <si>
    <t>Inflation-linked</t>
  </si>
  <si>
    <t>Reference rate</t>
  </si>
  <si>
    <t>Not applicable</t>
  </si>
  <si>
    <t>LIBOR 3 month</t>
  </si>
  <si>
    <t>LIBOR 6 month</t>
  </si>
  <si>
    <t>EURIBOR 3 month</t>
  </si>
  <si>
    <t>BOE base rate</t>
  </si>
  <si>
    <t>RPI 12 month</t>
  </si>
  <si>
    <t>CPI 12 month</t>
  </si>
  <si>
    <t>Currency</t>
  </si>
  <si>
    <t>GBP</t>
  </si>
  <si>
    <t>EUR</t>
  </si>
  <si>
    <t>USD</t>
  </si>
  <si>
    <t>HKD</t>
  </si>
  <si>
    <t>CAD</t>
  </si>
  <si>
    <t>Rank</t>
  </si>
  <si>
    <t>Senior</t>
  </si>
  <si>
    <t>Junior</t>
  </si>
  <si>
    <t>Hedged</t>
  </si>
  <si>
    <t>Yes - fully hedged</t>
  </si>
  <si>
    <t>Yes - partially hedged</t>
  </si>
  <si>
    <t>No</t>
  </si>
  <si>
    <t>Special features</t>
  </si>
  <si>
    <t>Callable</t>
  </si>
  <si>
    <t>Puttable</t>
  </si>
  <si>
    <t>Counterparty</t>
  </si>
  <si>
    <t>EIB</t>
  </si>
  <si>
    <t>RBS</t>
  </si>
  <si>
    <t>Swap legs</t>
  </si>
  <si>
    <t>Version control</t>
  </si>
  <si>
    <t xml:space="preserve"> </t>
  </si>
  <si>
    <t>Version:</t>
  </si>
  <si>
    <t>Submission</t>
  </si>
  <si>
    <t>Date submitted</t>
  </si>
  <si>
    <t>Changes</t>
  </si>
  <si>
    <t>Submission 1</t>
  </si>
  <si>
    <t>31st August 2022</t>
  </si>
  <si>
    <t>Submission 2</t>
  </si>
  <si>
    <t>Submission 3</t>
  </si>
  <si>
    <t>Submission 4</t>
  </si>
  <si>
    <t>Submission 5</t>
  </si>
  <si>
    <t>Submission 6</t>
  </si>
  <si>
    <t>Submission 7</t>
  </si>
  <si>
    <t>Submission 8</t>
  </si>
  <si>
    <t>Submission 9</t>
  </si>
  <si>
    <t>Submission 10</t>
  </si>
  <si>
    <t>R1 - RoRE</t>
  </si>
  <si>
    <t>R2 - Rec to Revenue and Profit</t>
  </si>
  <si>
    <t>R3 - Totex - Reconciliation</t>
  </si>
  <si>
    <t>R4 - Incentives and Other Rev</t>
  </si>
  <si>
    <t>R5 - Financing</t>
  </si>
  <si>
    <t>R5a - Financing input</t>
  </si>
  <si>
    <t>R6 - Net Debt</t>
  </si>
  <si>
    <t>R6a - Net Debt input</t>
  </si>
  <si>
    <t>R7 - RAV</t>
  </si>
  <si>
    <t>R8 - Tax</t>
  </si>
  <si>
    <t>R8a - Tax Reconciliation</t>
  </si>
  <si>
    <t>R9 - Corporate Governance</t>
  </si>
  <si>
    <t>R10 - Pensions &amp; other Activities</t>
  </si>
  <si>
    <t>Change log</t>
  </si>
  <si>
    <t>Version</t>
  </si>
  <si>
    <t>Table Reference</t>
  </si>
  <si>
    <t>Changes made to RFPR template</t>
  </si>
  <si>
    <t>R1 - Return on Regulatory Equity (RoRE)</t>
  </si>
  <si>
    <t>RIIO-2 period</t>
  </si>
  <si>
    <t>RoRE based on Notional Gearing</t>
  </si>
  <si>
    <t>Allowed Equity Return</t>
  </si>
  <si>
    <t>%</t>
  </si>
  <si>
    <t>a</t>
  </si>
  <si>
    <t>b</t>
  </si>
  <si>
    <t>c</t>
  </si>
  <si>
    <t>d</t>
  </si>
  <si>
    <t>e</t>
  </si>
  <si>
    <t>f</t>
  </si>
  <si>
    <t>g</t>
  </si>
  <si>
    <t>i</t>
  </si>
  <si>
    <t>ii</t>
  </si>
  <si>
    <t>iii</t>
  </si>
  <si>
    <t>iv</t>
  </si>
  <si>
    <t>v</t>
  </si>
  <si>
    <t>vi</t>
  </si>
  <si>
    <t>vii</t>
  </si>
  <si>
    <t>viii</t>
  </si>
  <si>
    <t>RoRE based on Actual Gearing</t>
  </si>
  <si>
    <t>Debt performance - at actual gearing</t>
  </si>
  <si>
    <t>Tax performance - at actual gearing</t>
  </si>
  <si>
    <t>RoRE input values</t>
  </si>
  <si>
    <t>Equity Return on the RAV</t>
  </si>
  <si>
    <t>Totex outperformance</t>
  </si>
  <si>
    <t>Business Plan Incentive</t>
  </si>
  <si>
    <t>Penalties and fines (Other Activities)</t>
  </si>
  <si>
    <t>RoRE - Operational performance</t>
  </si>
  <si>
    <t>Debt performance - at notional gearing</t>
  </si>
  <si>
    <t>Debt performance - impact of actual gearing</t>
  </si>
  <si>
    <t>Tax performance - at notional gearing</t>
  </si>
  <si>
    <t>Tax performance - impact of actual gearing</t>
  </si>
  <si>
    <t>RoRE - including financing and tax</t>
  </si>
  <si>
    <t>NPV-neutral equity RAV based on notional gearing</t>
  </si>
  <si>
    <t>Equity RAV based on actual gearing</t>
  </si>
  <si>
    <t>R2 - Reconciliation to Revenue and Profit</t>
  </si>
  <si>
    <t>Reconciliation: Regulated Network Revenue to Accounts</t>
  </si>
  <si>
    <t>Allowed Revenue - per latest published PCFM</t>
  </si>
  <si>
    <t>Calculated revenue (as published)</t>
  </si>
  <si>
    <t>£m nominal</t>
  </si>
  <si>
    <t>AIP adjustment term (as published)</t>
  </si>
  <si>
    <t>Adjusted revenue (as published)</t>
  </si>
  <si>
    <t>Legacy Allowed Revenue</t>
  </si>
  <si>
    <t>K Correction Factor</t>
  </si>
  <si>
    <t>Allowed Network Revenue</t>
  </si>
  <si>
    <t>(Under) / Over recovery</t>
  </si>
  <si>
    <t>Collected Regulated Network Revenue</t>
  </si>
  <si>
    <t>RRt</t>
  </si>
  <si>
    <t>Other Turnover Items</t>
  </si>
  <si>
    <t>Strategic Innovation Fund (SIF) payments received from TO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</si>
  <si>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</si>
  <si>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</si>
  <si>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</si>
  <si>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</si>
  <si>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</si>
  <si>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</si>
  <si>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</si>
  <si>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[Input description, add additional rows as required]</t>
  </si>
  <si>
    <t>Total Other Turnover Items</t>
  </si>
  <si>
    <t>Other adjustments - please list</t>
  </si>
  <si>
    <t>[Input description]</t>
  </si>
  <si>
    <t>Total other adjustments</t>
  </si>
  <si>
    <t>Reconciled total revenue</t>
  </si>
  <si>
    <t>Turnover as per Profit and Loss (Stat Accounts)</t>
  </si>
  <si>
    <t>Check</t>
  </si>
  <si>
    <t>Reconciliation: Regulated Network Profit to Statutory Accounts</t>
  </si>
  <si>
    <t>Turnover/Revenue as per Statutory Accounts</t>
  </si>
  <si>
    <t>Operating Costs, Pensions and Other Costs as per Statutory Accounts</t>
  </si>
  <si>
    <t>Reconciliation</t>
  </si>
  <si>
    <t>Total Costs not related to the price control Regulated business</t>
  </si>
  <si>
    <t>Atypical costs adjustment (reported on cash basis)</t>
  </si>
  <si>
    <t>Total Operating Costs as reported in the latest RRP submission (related to regulated business)</t>
  </si>
  <si>
    <t>Difference</t>
  </si>
  <si>
    <t>Earnings/ Operating Profit (EBITDA) per Statutory Accounts</t>
  </si>
  <si>
    <t>Operating Profit related to Regulated business</t>
  </si>
  <si>
    <t>Depreciation and Amortisation costs as per Statutory Accounts</t>
  </si>
  <si>
    <t>Costs not related to the price control Regulated business</t>
  </si>
  <si>
    <t>Depreciation, amortisation related to capex adjustments</t>
  </si>
  <si>
    <t>Other [Input description, add additional rows as required]</t>
  </si>
  <si>
    <t>Total Adjustments</t>
  </si>
  <si>
    <t>Total Depreciation and Amortisation Costs related to the Regulated business</t>
  </si>
  <si>
    <t>Earnings before Interest and Taxes (EBIT) per Statutory Accounts</t>
  </si>
  <si>
    <t>Operating Profit before Interest and Taxes related to Regulated business</t>
  </si>
  <si>
    <t>Net Interest as per Statutory Accounts</t>
  </si>
  <si>
    <t>Net Interest Per Regulatory (RIIO-2) Definition</t>
  </si>
  <si>
    <t>Tax as per Statutory Accounts</t>
  </si>
  <si>
    <t xml:space="preserve">  Less Deferred Taxes</t>
  </si>
  <si>
    <t>Tax as per Statutory Accounts (net of deferred taxes)</t>
  </si>
  <si>
    <t>Tax related to Regulated business</t>
  </si>
  <si>
    <t>Net Profit as per Statutory Accounts</t>
  </si>
  <si>
    <t>Net Profit related to Regulated business</t>
  </si>
  <si>
    <t>Supporting Comments/Narrative</t>
  </si>
  <si>
    <t>R3 - Totex &amp; Reconciliation</t>
  </si>
  <si>
    <t>Totex per the latest PCFM</t>
  </si>
  <si>
    <t>Capitalisation 1 totex (excluding repex)</t>
  </si>
  <si>
    <t>Latest Totex actuals/forecast</t>
  </si>
  <si>
    <t xml:space="preserve">Totex allowance 
</t>
  </si>
  <si>
    <t>Totex out(under)performance</t>
  </si>
  <si>
    <t>Funding Adjustment Rate (often referred to as 'sharing factor')</t>
  </si>
  <si>
    <t>Customer share of out(under) performance</t>
  </si>
  <si>
    <t>NWO share of performance</t>
  </si>
  <si>
    <t>Enduring Value adjustments to Totex performance</t>
  </si>
  <si>
    <t>[Cross Price Control]</t>
  </si>
  <si>
    <t>[other Enduring Value adjustment]</t>
  </si>
  <si>
    <t>Total enduring value adjustments</t>
  </si>
  <si>
    <t>Enduring Value adjustments (UIOLI)</t>
  </si>
  <si>
    <t>Enduring Value: Customer share of performance</t>
  </si>
  <si>
    <t>Enduring Value: NWO share of performance</t>
  </si>
  <si>
    <t>Total out(under) performance (including enduring value adjustments)</t>
  </si>
  <si>
    <t>Total out (under) performance</t>
  </si>
  <si>
    <t>Capitalisation 2 totex (excluding repex)</t>
  </si>
  <si>
    <t xml:space="preserve">Totex allowance 
  </t>
  </si>
  <si>
    <t>Repex (not applicable for TOs)</t>
  </si>
  <si>
    <t>Latest Repex actuals/forecast</t>
  </si>
  <si>
    <t xml:space="preserve">Totex allowance 
 </t>
  </si>
  <si>
    <t>Totex Summary</t>
  </si>
  <si>
    <t>Total out(under) performance</t>
  </si>
  <si>
    <t>Customer share of performance</t>
  </si>
  <si>
    <t>Total</t>
  </si>
  <si>
    <t>Reconciliation to Totex</t>
  </si>
  <si>
    <t>Total Expenditure Per Accounts</t>
  </si>
  <si>
    <t>Tangible Fixed Asset Additions</t>
  </si>
  <si>
    <t>Intangible Asset Additions (under IFRS) - IT Software</t>
  </si>
  <si>
    <t>Disposals (cash proceeds)
[If Statutory Accounts treat this as an exceptional item, leave the input blank]</t>
  </si>
  <si>
    <t>Customer Contributions Additions</t>
  </si>
  <si>
    <t>Capitalised interest</t>
  </si>
  <si>
    <t>Revaluation of tangible fixed assets</t>
  </si>
  <si>
    <t>Capex Incurred</t>
  </si>
  <si>
    <t>Operational Costs Incurred</t>
  </si>
  <si>
    <t>Opex Incurred</t>
  </si>
  <si>
    <t>Total Expenditure Incurred</t>
  </si>
  <si>
    <t>Reconciling Items to Total Net costs after non-price control allocations</t>
  </si>
  <si>
    <t>Opex Reconciling Adjustments</t>
  </si>
  <si>
    <t xml:space="preserve">Total </t>
  </si>
  <si>
    <t>Capex Reconciling Adjustments</t>
  </si>
  <si>
    <t>Total Reconciling Items</t>
  </si>
  <si>
    <t>Total Net costs after non-price control allocations</t>
  </si>
  <si>
    <t>Total Costs per latest RRP submission(all sectors except ESO)*</t>
  </si>
  <si>
    <t>Total Costs per latest RRP submission (ESO)*</t>
  </si>
  <si>
    <t>Total Costs per latest RRP submission</t>
  </si>
  <si>
    <t>check</t>
  </si>
  <si>
    <t>Reconciling Items to Totex</t>
  </si>
  <si>
    <t>Total reconciling items not recognised in totex</t>
  </si>
  <si>
    <t>Reconciled Totex</t>
  </si>
  <si>
    <t>PCFM/ RRP reported Totex</t>
  </si>
  <si>
    <t>*Licensee to provide a cell reference to the latest submitted RRP file from where the value is taken and note it in supporting comments/ narrative section below.</t>
  </si>
  <si>
    <t>R4 - Incentives and Other Revenue</t>
  </si>
  <si>
    <t>Output Incentives (Post Tax)</t>
  </si>
  <si>
    <t>Business Plan Incentive (per latest PCFM company-specific Input Sheet)</t>
  </si>
  <si>
    <t>Output Incentives  (per latest PCFM company-specific Input Sheet)</t>
  </si>
  <si>
    <t>Earned Output Incentive revenue as per PCFM</t>
  </si>
  <si>
    <t>Additional Commentary</t>
  </si>
  <si>
    <r>
      <t>Other revenue allowances (ORA</t>
    </r>
    <r>
      <rPr>
        <b/>
        <vertAlign val="subscript"/>
        <sz val="14"/>
        <color theme="1"/>
        <rFont val="Verdana"/>
        <family val="2"/>
      </rPr>
      <t>t</t>
    </r>
    <r>
      <rPr>
        <b/>
        <sz val="14"/>
        <color theme="1"/>
        <rFont val="Verdana"/>
        <family val="2"/>
      </rPr>
      <t xml:space="preserve">) - Post Tax </t>
    </r>
  </si>
  <si>
    <t xml:space="preserve">Innovation </t>
  </si>
  <si>
    <t>Total NIA Expenditure</t>
  </si>
  <si>
    <t>Unrecoverable Expenditure (eg not conforming to technical requirements)</t>
  </si>
  <si>
    <t>Company Compulsory Contribution (including % contribution funded by licensee)</t>
  </si>
  <si>
    <t>Allowed NIA adjustment</t>
  </si>
  <si>
    <t>Network innovation input for RORE</t>
  </si>
  <si>
    <t>Eligible NIA expenditure and Bid Preparation costs</t>
  </si>
  <si>
    <t>Allowed CNIA adjustment</t>
  </si>
  <si>
    <t>Carry-over Network innovation input for RORE</t>
  </si>
  <si>
    <t>SIF Funding</t>
  </si>
  <si>
    <t>SIF Funding Return (Disallowed Expenditure only)</t>
  </si>
  <si>
    <t>Allowed SIF adjustment</t>
  </si>
  <si>
    <t>Strategic innovation input for RORE</t>
  </si>
  <si>
    <t xml:space="preserve">Incentives </t>
  </si>
  <si>
    <t>(Actuals may be updated once all incentives are determined)</t>
  </si>
  <si>
    <t>NOTE: Section below excludes ORA (i), (ii) and (iii) which have already been included as part of "Innovation"  section above.</t>
  </si>
  <si>
    <t>Incentives per latest PCFM company-specific Input Sheet</t>
  </si>
  <si>
    <t>Reconciliation with Statutory Accounts</t>
  </si>
  <si>
    <t>Forecast new financing/refinancing Net Interest costs</t>
  </si>
  <si>
    <t>Net Interest including forecast new financing/refinancing costs</t>
  </si>
  <si>
    <t>External Net Interest</t>
  </si>
  <si>
    <t>Intra-company Net Interest</t>
  </si>
  <si>
    <t>Memo: Net interest (RIIO-2) Definition that relates to non-cash principal inflation accretion on bonds and loans</t>
  </si>
  <si>
    <t>Less inflation in interest charge</t>
  </si>
  <si>
    <t>Assumed Regulatory finance cost at actual gearing</t>
  </si>
  <si>
    <t>Combined RPI-CPIH real to nominal prices conversion</t>
  </si>
  <si>
    <t>Factor</t>
  </si>
  <si>
    <t>Assumed regulatory finance cost at actual gearing</t>
  </si>
  <si>
    <t>Adjustments to be applied to Assumed Finance cost for performance assessment</t>
  </si>
  <si>
    <t>New/refinanced debt issuance expenses</t>
  </si>
  <si>
    <t>Total Adjustments to be applied for performance assessment (at actual gearing)</t>
  </si>
  <si>
    <t>Cost of Debt out(under)performance at notional gearing</t>
  </si>
  <si>
    <t>Performance against allowance is impacted by deviating from notional levels of gearing</t>
  </si>
  <si>
    <t>Actual Gearing</t>
  </si>
  <si>
    <t>Adjustment to regulatory finance cost relating to variance from notional gearing</t>
  </si>
  <si>
    <t>Assumed regulatory finance cost at notional gearing</t>
  </si>
  <si>
    <t>Adjustments to be applied for performance assessment (at notional gearing)</t>
  </si>
  <si>
    <t>Cost of Debt Allowance</t>
  </si>
  <si>
    <t xml:space="preserve">The latest PCFM contains the allowed cost of debt rate (%) for the reporting year. </t>
  </si>
  <si>
    <t>Cost of Debt Allowance as per latest published PCFM (prior year AIP)</t>
  </si>
  <si>
    <t>Out(under) performance</t>
  </si>
  <si>
    <t>Pre-Tax performance</t>
  </si>
  <si>
    <t>Pre-Tax Cost of Debt out(under)performance at actual gearing</t>
  </si>
  <si>
    <t>Pre-Tax Cost of Debt out(under)performance at notional gearing</t>
  </si>
  <si>
    <t>Pre-Tax Impact on out(under) performance relating to deviating from notional levels of gearing</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</si>
  <si>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</si>
  <si>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RIIO-2</t>
  </si>
  <si>
    <t>RIIO-3</t>
  </si>
  <si>
    <t>Years ending 31 March</t>
  </si>
  <si>
    <t>B.</t>
  </si>
  <si>
    <t>Interest paid on External borrowings, bonds, external loans and finance leases (+ve)</t>
  </si>
  <si>
    <t>Bonds</t>
  </si>
  <si>
    <t>Income statement (P&amp;L) charge</t>
  </si>
  <si>
    <t>Ref</t>
  </si>
  <si>
    <t>£m</t>
  </si>
  <si>
    <t>B1.3</t>
  </si>
  <si>
    <t>B1.4</t>
  </si>
  <si>
    <t>B1.5</t>
  </si>
  <si>
    <t>B1.6</t>
  </si>
  <si>
    <t>Cash flow</t>
  </si>
  <si>
    <t>&amp;</t>
  </si>
  <si>
    <t>External loan or finance lease</t>
  </si>
  <si>
    <t>B2.1</t>
  </si>
  <si>
    <t>B2.2</t>
  </si>
  <si>
    <t>B2.3</t>
  </si>
  <si>
    <t>B2.4</t>
  </si>
  <si>
    <t>B2.5</t>
  </si>
  <si>
    <t>B2.6</t>
  </si>
  <si>
    <t>B2.7</t>
  </si>
  <si>
    <t>B2.8</t>
  </si>
  <si>
    <t>B2.9</t>
  </si>
  <si>
    <t>B2.10</t>
  </si>
  <si>
    <t>B2.11</t>
  </si>
  <si>
    <t>B2.12</t>
  </si>
  <si>
    <t>B2.13</t>
  </si>
  <si>
    <t>B2.14</t>
  </si>
  <si>
    <t>B2.15</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</si>
  <si>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</si>
  <si>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</si>
  <si>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</si>
  <si>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</si>
  <si>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</si>
  <si>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</si>
  <si>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</si>
  <si>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</si>
  <si>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</si>
  <si>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</si>
  <si>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</si>
  <si>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</si>
  <si>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</si>
  <si>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</si>
  <si>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</si>
  <si>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</si>
  <si>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</si>
  <si>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</si>
  <si>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</si>
  <si>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</si>
  <si>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</si>
  <si>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</si>
  <si>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</si>
  <si>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</si>
  <si>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Description</t>
  </si>
  <si>
    <t>Payable/ (Receivable)</t>
  </si>
  <si>
    <t>E1</t>
  </si>
  <si>
    <t>E2</t>
  </si>
  <si>
    <t>E3</t>
  </si>
  <si>
    <t>E4</t>
  </si>
  <si>
    <t>E5</t>
  </si>
  <si>
    <t>E6</t>
  </si>
  <si>
    <t>E7</t>
  </si>
  <si>
    <t>E8</t>
  </si>
  <si>
    <t>E9</t>
  </si>
  <si>
    <t>F.</t>
  </si>
  <si>
    <t xml:space="preserve">Finance cost for other financial exposure </t>
  </si>
  <si>
    <t>F1</t>
  </si>
  <si>
    <t>F2</t>
  </si>
  <si>
    <t>F3</t>
  </si>
  <si>
    <t>F4</t>
  </si>
  <si>
    <t>F5</t>
  </si>
  <si>
    <t>F6</t>
  </si>
  <si>
    <t>F7</t>
  </si>
  <si>
    <t>F8</t>
  </si>
  <si>
    <t>F9</t>
  </si>
  <si>
    <t>G.</t>
  </si>
  <si>
    <t>Financing costs paid (received) on Currency SWAPS as per income statement</t>
  </si>
  <si>
    <t>Issue date</t>
  </si>
  <si>
    <t>Maturity date</t>
  </si>
  <si>
    <t>Description &amp; rationale for instrument</t>
  </si>
  <si>
    <t>dd/mm/yyyy</t>
  </si>
  <si>
    <t>G3</t>
  </si>
  <si>
    <t>G4</t>
  </si>
  <si>
    <t>G5</t>
  </si>
  <si>
    <t>G6</t>
  </si>
  <si>
    <t>G7</t>
  </si>
  <si>
    <t>GX</t>
  </si>
  <si>
    <t xml:space="preserve">{ Insert new rows here as necessary } </t>
  </si>
  <si>
    <t xml:space="preserve">Total G. </t>
  </si>
  <si>
    <t>H</t>
  </si>
  <si>
    <t xml:space="preserve">Financing costs paid (received) on Interest rate SWAPS </t>
  </si>
  <si>
    <t xml:space="preserve">Receive leg </t>
  </si>
  <si>
    <t>Pay leg</t>
  </si>
  <si>
    <t>Notional amount</t>
  </si>
  <si>
    <t>Payment frequency</t>
  </si>
  <si>
    <t>6m / 12m etc</t>
  </si>
  <si>
    <t>H1</t>
  </si>
  <si>
    <t>H2</t>
  </si>
  <si>
    <t>H4</t>
  </si>
  <si>
    <t>H5</t>
  </si>
  <si>
    <t>H6</t>
  </si>
  <si>
    <t>H7</t>
  </si>
  <si>
    <t>H8</t>
  </si>
  <si>
    <t>H9</t>
  </si>
  <si>
    <t>H10</t>
  </si>
  <si>
    <t xml:space="preserve">Total H. </t>
  </si>
  <si>
    <t>I.</t>
  </si>
  <si>
    <t xml:space="preserve">Financing costs paid (received) on Inflation-linked SWAPS </t>
  </si>
  <si>
    <t>I7</t>
  </si>
  <si>
    <t>I8</t>
  </si>
  <si>
    <t>I9</t>
  </si>
  <si>
    <t>IX</t>
  </si>
  <si>
    <t xml:space="preserve">Total I. </t>
  </si>
  <si>
    <t>J.</t>
  </si>
  <si>
    <t>Financing costs paid (received) on Interest Rate Forward Contracts</t>
  </si>
  <si>
    <t>J1</t>
  </si>
  <si>
    <t>J2</t>
  </si>
  <si>
    <t>J3</t>
  </si>
  <si>
    <t>J4</t>
  </si>
  <si>
    <t>JX</t>
  </si>
  <si>
    <t>Total J.</t>
  </si>
  <si>
    <t>K.</t>
  </si>
  <si>
    <t>Financing costs paid (received) on foreign exchange forward rate contracts</t>
  </si>
  <si>
    <t>K1</t>
  </si>
  <si>
    <t>K2</t>
  </si>
  <si>
    <t>K3</t>
  </si>
  <si>
    <t>K4</t>
  </si>
  <si>
    <t>KX</t>
  </si>
  <si>
    <t>Total K.</t>
  </si>
  <si>
    <t>L.</t>
  </si>
  <si>
    <t xml:space="preserve">Financing costs paid (received) on other swaps, forward rate contracts &amp; OTC options </t>
  </si>
  <si>
    <t>L1</t>
  </si>
  <si>
    <t>L2</t>
  </si>
  <si>
    <t>L3</t>
  </si>
  <si>
    <t>L4</t>
  </si>
  <si>
    <t>LX</t>
  </si>
  <si>
    <t>Total L.</t>
  </si>
  <si>
    <t>M.</t>
  </si>
  <si>
    <t xml:space="preserve">Financing costs paid (received) on other derivatives including exchange traded futures and options </t>
  </si>
  <si>
    <t>M1</t>
  </si>
  <si>
    <t>M2</t>
  </si>
  <si>
    <t>M3</t>
  </si>
  <si>
    <t>M4</t>
  </si>
  <si>
    <t>MX</t>
  </si>
  <si>
    <t>Total M.</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</si>
  <si>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</si>
  <si>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</si>
  <si>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</si>
  <si>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</si>
  <si>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</si>
  <si>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</si>
  <si>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G-M</t>
  </si>
  <si>
    <t>Derivatives etc.</t>
  </si>
  <si>
    <t>Other adjustment (Overwrite)</t>
  </si>
  <si>
    <t>Sub Total: "Debt Interest Expense"</t>
  </si>
  <si>
    <t>Plus unwinding of discount on provisions</t>
  </si>
  <si>
    <t>Plus debt redemption costs</t>
  </si>
  <si>
    <t>Plus Preference dividends</t>
  </si>
  <si>
    <t>Plus commitment fees</t>
  </si>
  <si>
    <t>Less Interest capitalised</t>
  </si>
  <si>
    <t xml:space="preserve">Plus losses on derivative financial instruments </t>
  </si>
  <si>
    <t>Other interest payable</t>
  </si>
  <si>
    <t>Other adjustments</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</si>
  <si>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</si>
  <si>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</si>
  <si>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</si>
  <si>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</si>
  <si>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</si>
  <si>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</si>
  <si>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paid"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</si>
  <si>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</si>
  <si>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</si>
  <si>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</si>
  <si>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</si>
  <si>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</si>
  <si>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</si>
  <si>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</si>
  <si>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Net Interest Per Statutory Accounts</t>
  </si>
  <si>
    <t>Allocation of net interest (Per income statement. Transmission companies only)</t>
  </si>
  <si>
    <t>GSO System operator allocation (transmission companies only)</t>
  </si>
  <si>
    <t>Transmission or distribution allocation</t>
  </si>
  <si>
    <t>Conversion to Regulatory (RIIO-2) Definition of Net Interest</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</si>
  <si>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</si>
  <si>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</si>
  <si>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</si>
  <si>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</si>
  <si>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</si>
  <si>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</si>
  <si>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</si>
  <si>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</si>
  <si>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Other Adjustments [please specify]</t>
  </si>
  <si>
    <t>Add back Debt Issuance expenses</t>
  </si>
  <si>
    <t>Costs of early redemption on long term debt (excluding exceptional costs of buy backs associated with M&amp;A activity)</t>
  </si>
  <si>
    <t>Add accrual for inflation accretion on index-linked swaps (if applicable)</t>
  </si>
  <si>
    <t>Allocation of net interest (Per regulatory definition. Transmission companies only)</t>
  </si>
  <si>
    <t>Gas System operator allocation (transmission companies only)</t>
  </si>
  <si>
    <t>Inputs to Tax Clawback Calculation</t>
  </si>
  <si>
    <t>Total Net Debt Per Regulatory (RIIO-2) Definition</t>
  </si>
  <si>
    <t>Analysis of financing costs as per cash flow statement</t>
  </si>
  <si>
    <t>Cash flow statement debits and cash out flows entered as +ve values, credits as -ve values</t>
  </si>
  <si>
    <t>Analysis of interest paid as per cash flow statement</t>
  </si>
  <si>
    <t>Derivatives etc</t>
  </si>
  <si>
    <t>Sub Total: "debt interest paid"</t>
  </si>
  <si>
    <t>Plus other, non debt elements of interest paid</t>
  </si>
  <si>
    <t>Total Interest Paid as per cash flow statement</t>
  </si>
  <si>
    <t>Analysis of interest received as per cash flow statement</t>
  </si>
  <si>
    <t>Sub total "debt interest received"</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</si>
  <si>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</si>
  <si>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</si>
  <si>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</si>
  <si>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</si>
  <si>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</si>
  <si>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</si>
  <si>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Net cash flow Statutory Accounts</t>
  </si>
  <si>
    <t>Allocation of net interest (Per cash flow statement. Transmission companies only)</t>
  </si>
  <si>
    <t>System operator allocation (transmission companies only)</t>
  </si>
  <si>
    <t>End of sheet</t>
  </si>
  <si>
    <t>`</t>
  </si>
  <si>
    <t>Opening Cash, short term deposits and overdrafts (per Balance Sheet)</t>
  </si>
  <si>
    <t>Closing Cash, short term deposits and overdrafts (per Balance Sheet)</t>
  </si>
  <si>
    <t>External borrowings, bonds, external loans and finance leases (+ve)</t>
  </si>
  <si>
    <t>Loans from other group companies (+ve)</t>
  </si>
  <si>
    <t>Loans to other group companies (-ve)</t>
  </si>
  <si>
    <t>Other amounts due to/(from) group companies per Balance Sheet</t>
  </si>
  <si>
    <t>Guarantees given on behalf of other group companies (per Notes to the Accounts) (+ve)</t>
  </si>
  <si>
    <t>Currency SWAPS</t>
  </si>
  <si>
    <t>Interest rate SWAPS</t>
  </si>
  <si>
    <t>Inflation-linked SWAPS</t>
  </si>
  <si>
    <t>Interest Rate Forward Contracts</t>
  </si>
  <si>
    <t>Foreign exchange forward rate contracts</t>
  </si>
  <si>
    <t>Other swaps, forward rate contracts &amp; OTC options</t>
  </si>
  <si>
    <t>Other derivatives including exchange traded futures and options</t>
  </si>
  <si>
    <t>Total Debt per Statutory Accounts</t>
  </si>
  <si>
    <t>Conversion to Regulatory (RIIO-2) Definition of Net Debt</t>
  </si>
  <si>
    <t>Total Net Debt per Regulatory (RIIO-2) definition</t>
  </si>
  <si>
    <t>Forecast new debt/refinancing</t>
  </si>
  <si>
    <t>Regulatory Net Debt including forecast new debt/refinancing</t>
  </si>
  <si>
    <t>Opening Regulatory Net Debt including forecast new debt/refinancing</t>
  </si>
  <si>
    <t>Closing Regulatory Net Debt including forecast new debt/refinancing</t>
  </si>
  <si>
    <t>Allocation of net debt (Per regulatory definition. Transmission companies only)</t>
  </si>
  <si>
    <t>Gas system operator allocation (transmission companies only)</t>
  </si>
  <si>
    <t>Average Net Debt (per Regulatory Definition)</t>
  </si>
  <si>
    <t>Equity RAV</t>
  </si>
  <si>
    <t>Average RAV</t>
  </si>
  <si>
    <t>Actual Regulatory Gearing</t>
  </si>
  <si>
    <t>Gearing Ratio delta</t>
  </si>
  <si>
    <t>NPV Neutral assumed Average Net Debt</t>
  </si>
  <si>
    <t>NPV Neutral assumed Equity RAV</t>
  </si>
  <si>
    <t>NPV Neutral assumed Average RAV</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</si>
  <si>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</si>
  <si>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</si>
  <si>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</si>
  <si>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</si>
  <si>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</si>
  <si>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</si>
  <si>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</si>
  <si>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</si>
  <si>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</si>
  <si>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Restricted cash balances (-ive)</t>
  </si>
  <si>
    <t>Total A.</t>
  </si>
  <si>
    <t>Analysis of External borrowings, bonds, external loans and finance leases (+ve)</t>
  </si>
  <si>
    <t>ISIN</t>
  </si>
  <si>
    <t>Bond type</t>
  </si>
  <si>
    <t>Payment rank</t>
  </si>
  <si>
    <t>Coupon rate / margin spread on reference rate</t>
  </si>
  <si>
    <t>Original currency</t>
  </si>
  <si>
    <t>GBP value on date of issue</t>
  </si>
  <si>
    <t>Transaction costs (total)</t>
  </si>
  <si>
    <t xml:space="preserve">Swapped / Hedged at issue </t>
  </si>
  <si>
    <t xml:space="preserve">Post swap / hedge coupon rate </t>
  </si>
  <si>
    <t>Base index</t>
  </si>
  <si>
    <t>Notional issued</t>
  </si>
  <si>
    <t>Yield to maturity at issue date</t>
  </si>
  <si>
    <t>GBP / EUR / etc</t>
  </si>
  <si>
    <t xml:space="preserve"> (pay leg) %</t>
  </si>
  <si>
    <t>B1.X</t>
  </si>
  <si>
    <t>Identifier (if applicable)</t>
  </si>
  <si>
    <t>Loan type</t>
  </si>
  <si>
    <t>Interest rate / margin spread on reference rate</t>
  </si>
  <si>
    <t>Max loan/Commitment amount</t>
  </si>
  <si>
    <t>Commitment fee</t>
  </si>
  <si>
    <t xml:space="preserve">% </t>
  </si>
  <si>
    <t>GBP / EURO / etc</t>
  </si>
  <si>
    <t>B2.X</t>
  </si>
  <si>
    <t>Total B.</t>
  </si>
  <si>
    <t>Analysis of loans from other group companies (+ve)</t>
  </si>
  <si>
    <t>Identifier (if applicable</t>
  </si>
  <si>
    <t>Max loan</t>
  </si>
  <si>
    <t>CX</t>
  </si>
  <si>
    <t>Total C.</t>
  </si>
  <si>
    <t>Analysis of loans to other group companies (-ve)</t>
  </si>
  <si>
    <t>DX</t>
  </si>
  <si>
    <t>Total D.</t>
  </si>
  <si>
    <t>Analysis of other amounts due to/(from) group companies per Balance Sheet</t>
  </si>
  <si>
    <t>Start 
date</t>
  </si>
  <si>
    <t>End 
date</t>
  </si>
  <si>
    <t>Name of Counterparty</t>
  </si>
  <si>
    <t>EX</t>
  </si>
  <si>
    <t>Total E.</t>
  </si>
  <si>
    <t>Other financial exposure</t>
  </si>
  <si>
    <t>Start</t>
  </si>
  <si>
    <t>End</t>
  </si>
  <si>
    <t>Name of</t>
  </si>
  <si>
    <t>Amount</t>
  </si>
  <si>
    <t>date</t>
  </si>
  <si>
    <t>Guaranteed</t>
  </si>
  <si>
    <t>FX</t>
  </si>
  <si>
    <t>Total F.</t>
  </si>
  <si>
    <t xml:space="preserve">Pay leg </t>
  </si>
  <si>
    <t>type</t>
  </si>
  <si>
    <t>Rate / margin spread on underlying %</t>
  </si>
  <si>
    <t>Underlying reference rate (if any)</t>
  </si>
  <si>
    <t>Rate / margin spread on underlying</t>
  </si>
  <si>
    <t>Additional commentary on individual instruments (as of latest reporting date, using ref to lines above)</t>
  </si>
  <si>
    <t>HX</t>
  </si>
  <si>
    <t>Rate</t>
  </si>
  <si>
    <t>Exchange rate</t>
  </si>
  <si>
    <t>Receive : Pay</t>
  </si>
  <si>
    <t xml:space="preserve">         </t>
  </si>
  <si>
    <t>Total Net Debt</t>
  </si>
  <si>
    <r>
      <rPr>
        <u/>
        <sz val="10"/>
        <rFont val="Gill Sans MT"/>
        <family val="2"/>
      </rPr>
      <t>Note:</t>
    </r>
    <r>
      <rPr>
        <sz val="10"/>
        <rFont val="Gill Sans MT"/>
        <family val="2"/>
      </rPr>
      <t xml:space="preserve"> Please provide additional commentary for each type of debt</t>
    </r>
  </si>
  <si>
    <t>Additional Commentary (for most recent year ended)</t>
  </si>
  <si>
    <t>Unamortised Issue Costs</t>
  </si>
  <si>
    <t>Fixed asset investments not readily convertible to cash</t>
  </si>
  <si>
    <t>Preference shares</t>
  </si>
  <si>
    <t>Long term loans (Not for benefit of regulated business or distribution in nature)</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</si>
  <si>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</si>
  <si>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</si>
  <si>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</si>
  <si>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</si>
  <si>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</si>
  <si>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</si>
  <si>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</si>
  <si>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</si>
  <si>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</si>
  <si>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</si>
  <si>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</si>
  <si>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</si>
  <si>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R7 - Regulatory Asset Value (RAV)</t>
  </si>
  <si>
    <t>RAV per latest PCFM</t>
  </si>
  <si>
    <r>
      <t xml:space="preserve">Closing RAV </t>
    </r>
    <r>
      <rPr>
        <sz val="10"/>
        <rFont val="Verdana"/>
        <family val="2"/>
      </rPr>
      <t xml:space="preserve">per latest PCFM </t>
    </r>
  </si>
  <si>
    <t>Opening RAV (before transfers)</t>
  </si>
  <si>
    <t>Transfers</t>
  </si>
  <si>
    <t>Opening RAV (after transfers)</t>
  </si>
  <si>
    <t>Net additions (after disposals)</t>
  </si>
  <si>
    <t>Net additions (after disposals) - enduring value adjustment</t>
  </si>
  <si>
    <t>Total Net Additions</t>
  </si>
  <si>
    <t>Depreciation</t>
  </si>
  <si>
    <t>Depreciation - enduring value adjustment</t>
  </si>
  <si>
    <t>Total Depreciation</t>
  </si>
  <si>
    <t>Adjusted Closing RAV</t>
  </si>
  <si>
    <t>Total enduring value and other adjustments</t>
  </si>
  <si>
    <t>CHECK</t>
  </si>
  <si>
    <t>Index for Opening RAV conversion to nominal in yr 1</t>
  </si>
  <si>
    <t>Index</t>
  </si>
  <si>
    <t>Cost of debt</t>
  </si>
  <si>
    <t>annual real %</t>
  </si>
  <si>
    <t>Cost of equity</t>
  </si>
  <si>
    <t>Notional gearing</t>
  </si>
  <si>
    <t>Vanilla WACC</t>
  </si>
  <si>
    <t>NPV-neutral debt element of RAV</t>
  </si>
  <si>
    <t>NPV-neutral equity element of RAV</t>
  </si>
  <si>
    <t>NPV-neutral RAV return base</t>
  </si>
  <si>
    <t>Debt Return on RAV</t>
  </si>
  <si>
    <t>Equity Return on RAV</t>
  </si>
  <si>
    <t>Total return on RAV</t>
  </si>
  <si>
    <t>The CT600 will not have been submitted for the current reporting year.</t>
  </si>
  <si>
    <t>It is assumed the current tax charge per the statutory accounts will equal the tax liability in the forthcoming CT600, where this is not the case the licensee should provide an explanation in the commentary of the variance.</t>
  </si>
  <si>
    <t>Tax liability per latest submitted CT600 (pre-group relief)</t>
  </si>
  <si>
    <t>Adjustments to remove non-regulated tax liability</t>
  </si>
  <si>
    <t>Tax on non-regulated activities</t>
  </si>
  <si>
    <t>Metering</t>
  </si>
  <si>
    <t>De-minimus and Other activities</t>
  </si>
  <si>
    <t>Excluded services</t>
  </si>
  <si>
    <t>Non-regulated tax</t>
  </si>
  <si>
    <t>Tax on Other Revenue Allowances - Innovation and Incentives only</t>
  </si>
  <si>
    <t>Collected revenue adjustment ('k')</t>
  </si>
  <si>
    <t>Pension - timing adjustment</t>
  </si>
  <si>
    <t>Pension - disallowed contributions</t>
  </si>
  <si>
    <t>Tax on derivatives not disregarded</t>
  </si>
  <si>
    <t>[Insert adjustment as necessary]</t>
  </si>
  <si>
    <t>[Insert new rows here as necessary]</t>
  </si>
  <si>
    <t>Forecast regulated tax liability (including impact of any enduring value adjustments)</t>
  </si>
  <si>
    <t>Adjusted regulated tax liability</t>
  </si>
  <si>
    <t xml:space="preserve">Adjusted/forecast regulated tax liability </t>
  </si>
  <si>
    <t>Tax out(under)performance at notional gearing</t>
  </si>
  <si>
    <t>Adjustment to regulatory tax cost relating to variance from notional gearing</t>
  </si>
  <si>
    <t>Revised regulated tax liability for comparison against allowance</t>
  </si>
  <si>
    <t>Allowance</t>
  </si>
  <si>
    <t>Tax Allowance per latest PCFM</t>
  </si>
  <si>
    <t>Regulated tax out(under) performance at actual gearing</t>
  </si>
  <si>
    <t>Regulated tax out(under) performance at notional gearing</t>
  </si>
  <si>
    <t>Impact on out(under) performance relating to deviating from notional levels of gearing</t>
  </si>
  <si>
    <t>Tax impact of financing performance (at actual gearing)</t>
  </si>
  <si>
    <t>Tax impact of financing performance (at notional gearing)</t>
  </si>
  <si>
    <t>Tax impact of financing performance relating to deviating from notional levels of gearing</t>
  </si>
  <si>
    <t xml:space="preserve">R08a - Tax Reconciliation for RIIO-2 </t>
  </si>
  <si>
    <t>Company name</t>
  </si>
  <si>
    <t>Accounting year end</t>
  </si>
  <si>
    <r>
      <rPr>
        <b/>
        <sz val="9"/>
        <color theme="1"/>
        <rFont val="Verdana"/>
        <family val="2"/>
      </rPr>
      <t>Note:</t>
    </r>
    <r>
      <rPr>
        <sz val="9"/>
        <color theme="1"/>
        <rFont val="Verdana"/>
        <family val="2"/>
      </rPr>
      <t xml:space="preserve"> due to the timing of the CT600 submissions to HMRC, this sheet is to be reported with a one-year lag (i.e. inputs will relate to the previous reporting period).</t>
    </r>
  </si>
  <si>
    <t>Description of Tax Reconciliation Items</t>
  </si>
  <si>
    <t>Price base</t>
  </si>
  <si>
    <t>CT600/ CT computation filed with HMRC (Original Filing)</t>
  </si>
  <si>
    <t>CT600/ CT computation filed with HMRC (Re-filed)</t>
  </si>
  <si>
    <t>PCFM Reference</t>
  </si>
  <si>
    <t xml:space="preserve">PCFM 
Calculated Tax Allowance (Net)
</t>
  </si>
  <si>
    <t xml:space="preserve">PCFM 
Calculated Tax Allowance (Gross)
</t>
  </si>
  <si>
    <t>Difference  
PCFM vs CT600</t>
  </si>
  <si>
    <t>Explanation of difference / Comments</t>
  </si>
  <si>
    <t>Enter CT600 Filing Dates (DD/MM/YYYY):</t>
  </si>
  <si>
    <t>Rate of Tax Applied</t>
  </si>
  <si>
    <t xml:space="preserve"> - Turnover per PLs v Calculated Revenue per PCFM (must match value in row 58 of R2)</t>
  </si>
  <si>
    <t>Nominal</t>
  </si>
  <si>
    <t xml:space="preserve"> - Revenue Tax Pool additions</t>
  </si>
  <si>
    <t xml:space="preserve"> - Adjustment #1 </t>
  </si>
  <si>
    <t xml:space="preserve"> - Adjustment #2 </t>
  </si>
  <si>
    <t xml:space="preserve"> - Adjustment #3</t>
  </si>
  <si>
    <t xml:space="preserve"> - Operating expenses (excluding depreciation and amortisation)</t>
  </si>
  <si>
    <t>EBITDA</t>
  </si>
  <si>
    <t xml:space="preserve"> - Less net interest per P/L /  paid (interest coupon)</t>
  </si>
  <si>
    <t xml:space="preserve"> - Less net interest per P/L / paid (inflation coupon)</t>
  </si>
  <si>
    <t xml:space="preserve"> - Income from Fixed Asset Investments per financial statements</t>
  </si>
  <si>
    <t xml:space="preserve"> - Profit/ (Loss) on disposal of Fixed Assets per financial statements</t>
  </si>
  <si>
    <t xml:space="preserve"> - Depreciation </t>
  </si>
  <si>
    <t xml:space="preserve"> - Amortisation</t>
  </si>
  <si>
    <t>Profit/ (Loss) before taxation per accounts</t>
  </si>
  <si>
    <t xml:space="preserve">Tax Base (before Capital Allowances) </t>
  </si>
  <si>
    <t>REGULATORY ADJUSTMENTS</t>
  </si>
  <si>
    <t>Non regulated activity - adjustments for non regulatory turnover</t>
  </si>
  <si>
    <t xml:space="preserve"> - [insert rows as required]</t>
  </si>
  <si>
    <t>Non regulated activity - adjustments for turnover cost recoveries</t>
  </si>
  <si>
    <t>Non regulated activity - adjustments for turnover timing adjustments</t>
  </si>
  <si>
    <t>Adjusted profit/ (loss) after Regulatory Adjustments</t>
  </si>
  <si>
    <t>TAX ADJUSTMENTS</t>
  </si>
  <si>
    <t>Disallowables/ Allowables and similar items</t>
  </si>
  <si>
    <t xml:space="preserve"> - Provisions adjustments</t>
  </si>
  <si>
    <t xml:space="preserve"> - Pensions adjustments</t>
  </si>
  <si>
    <t xml:space="preserve"> - Depreciation</t>
  </si>
  <si>
    <t xml:space="preserve"> - Other disallowable items</t>
  </si>
  <si>
    <t xml:space="preserve"> - Statutory pension adjustments for corporation tax purposes</t>
  </si>
  <si>
    <t xml:space="preserve"> - Deferred revenue expenditure</t>
  </si>
  <si>
    <t xml:space="preserve"> - Capitalised revenue expenditure</t>
  </si>
  <si>
    <t xml:space="preserve"> - Capitalised revenue expenditure allowed on accounts basis</t>
  </si>
  <si>
    <t xml:space="preserve"> - Capital allowances - expensed proceeds</t>
  </si>
  <si>
    <t xml:space="preserve"> - Transfer pricing adjustments</t>
  </si>
  <si>
    <t xml:space="preserve"> - Profit/ (loss) on disposal of fixed assets</t>
  </si>
  <si>
    <t>Capital Allowances</t>
  </si>
  <si>
    <t xml:space="preserve"> - General pool</t>
  </si>
  <si>
    <t xml:space="preserve"> - Special Rate pool</t>
  </si>
  <si>
    <t xml:space="preserve"> - Structures and Buildings pool</t>
  </si>
  <si>
    <t xml:space="preserve"> - Short Life Assets</t>
  </si>
  <si>
    <t xml:space="preserve"> - Intangible Assets</t>
  </si>
  <si>
    <t xml:space="preserve"> - R&amp;D Allowances</t>
  </si>
  <si>
    <t xml:space="preserve"> Interest Adjustments</t>
  </si>
  <si>
    <t xml:space="preserve"> - Corporate Interest Restriction adjustment</t>
  </si>
  <si>
    <t xml:space="preserve"> - Derivatives adjustment</t>
  </si>
  <si>
    <t xml:space="preserve"> - Non-trade loan relationship debits per accounts</t>
  </si>
  <si>
    <t xml:space="preserve"> - Trade loan relationships debits tax adjustment (interest allowed when paid)</t>
  </si>
  <si>
    <t xml:space="preserve"> - Non-trade loan relationship credits per accounts</t>
  </si>
  <si>
    <t xml:space="preserve"> - Non-trade loan relationship credits</t>
  </si>
  <si>
    <t>Taxable Profit before Tax Loss Adjustments</t>
  </si>
  <si>
    <t>Profits attributable to Corporation Tax (before tax clawback)</t>
  </si>
  <si>
    <t>TAX LOSS ADJUSTMENTS</t>
  </si>
  <si>
    <t>Regulatory Tax Losses</t>
  </si>
  <si>
    <t xml:space="preserve"> - Taxable losses brought forward</t>
  </si>
  <si>
    <t xml:space="preserve"> - In-year taxable loss</t>
  </si>
  <si>
    <t xml:space="preserve"> - Contributions to losses from clawback</t>
  </si>
  <si>
    <t xml:space="preserve"> - Adjustment to losses from tax trigger</t>
  </si>
  <si>
    <t xml:space="preserve"> - Profits used to offset outstanding losses (excluded from corporation tax)</t>
  </si>
  <si>
    <t xml:space="preserve"> - [Insert Further Adjustments as necessary]</t>
  </si>
  <si>
    <t>Profits Chargeable to Corporation Tax (i.e. after Tax Loss Adjustments)('PCTCT')</t>
  </si>
  <si>
    <t>Profits attributable to Corporation Tax after tax losses</t>
  </si>
  <si>
    <t>Corporation Tax due on PCTCT</t>
  </si>
  <si>
    <t>Corporation tax charge after losses</t>
  </si>
  <si>
    <t>Financial Year Ave RPI-CPIH</t>
  </si>
  <si>
    <t>From RFPR 'Data' Cell E26</t>
  </si>
  <si>
    <t xml:space="preserve">Actual Corporation Tax Liability </t>
  </si>
  <si>
    <t>Calculated Tax Allowance (adjusted)</t>
  </si>
  <si>
    <t>Dividends Reconciliation - Regulated Business to Accounts</t>
  </si>
  <si>
    <t>Dividend paid as per Statutory Accounts</t>
  </si>
  <si>
    <t>Less dividend paid not related to Regulated business</t>
  </si>
  <si>
    <t>Dividend paid relating to the Regulated Business</t>
  </si>
  <si>
    <t>Shareholder loan interest (not included as Net Interest per Regulatory (RIIO-2) definition)</t>
  </si>
  <si>
    <t xml:space="preserve">Executive Directors* Remuneration </t>
  </si>
  <si>
    <t>Director 1</t>
  </si>
  <si>
    <t>Director 2</t>
  </si>
  <si>
    <t>Director 3</t>
  </si>
  <si>
    <t>Director 4</t>
  </si>
  <si>
    <t>Director 5</t>
  </si>
  <si>
    <t>Name of Director</t>
  </si>
  <si>
    <t>Fixed Pay</t>
  </si>
  <si>
    <t>Salary</t>
  </si>
  <si>
    <t>Bonus</t>
  </si>
  <si>
    <t>Benefits</t>
  </si>
  <si>
    <t>Pension</t>
  </si>
  <si>
    <t>Total Fixed Pay</t>
  </si>
  <si>
    <t>Allocation to Regulated Business</t>
  </si>
  <si>
    <t>Variable Pay</t>
  </si>
  <si>
    <t>Incentives</t>
  </si>
  <si>
    <t>Performance related Pay</t>
  </si>
  <si>
    <t>Total Variable Pay</t>
  </si>
  <si>
    <t>Total Pay</t>
  </si>
  <si>
    <t>Total Pay related to Regulated Business</t>
  </si>
  <si>
    <t>Shares** / Options</t>
  </si>
  <si>
    <t>Share ownership/ awards</t>
  </si>
  <si>
    <t>No. of Shares</t>
  </si>
  <si>
    <t>% Discount on shares purchased</t>
  </si>
  <si>
    <t>% of shares held compared to total authorised shares</t>
  </si>
  <si>
    <t>Value of total shares</t>
  </si>
  <si>
    <t>No.of Options held</t>
  </si>
  <si>
    <t xml:space="preserve">No. </t>
  </si>
  <si>
    <t>Exercise price</t>
  </si>
  <si>
    <t>£</t>
  </si>
  <si>
    <t>No. of options exercised</t>
  </si>
  <si>
    <t>Value of Options exercised</t>
  </si>
  <si>
    <t>Dividends paid</t>
  </si>
  <si>
    <t>Total Shares, Options and Dividends</t>
  </si>
  <si>
    <t>Total Remuneration</t>
  </si>
  <si>
    <t>Total Remuneration related to Regulated Business</t>
  </si>
  <si>
    <t>Pay Ratios - CEO's total remuneration to company's UK employees remuneration</t>
  </si>
  <si>
    <t xml:space="preserve">25th percentile </t>
  </si>
  <si>
    <t xml:space="preserve">50th percentile </t>
  </si>
  <si>
    <t xml:space="preserve">75th percentile </t>
  </si>
  <si>
    <t>*meaning executive board directors</t>
  </si>
  <si>
    <t xml:space="preserve">** in addition to shares under Variable Pay </t>
  </si>
  <si>
    <t>Supporting Comments</t>
  </si>
  <si>
    <t>R10 - Pensions &amp; Other Activities</t>
  </si>
  <si>
    <t>Pensions</t>
  </si>
  <si>
    <t>Licensee share of total pension deficit repair payment made for defined benefit scheme</t>
  </si>
  <si>
    <t>Of which:</t>
  </si>
  <si>
    <t>Established deficit element funded via specific allowances</t>
  </si>
  <si>
    <t>Incremental deficit funded via totex</t>
  </si>
  <si>
    <t>Established deficit (EDE) allowance as per latest PCFM</t>
  </si>
  <si>
    <t>Less Pension Payment History Allowance (PPH)</t>
  </si>
  <si>
    <t>Established deficit allowance less PPH</t>
  </si>
  <si>
    <t>Enter valuation date</t>
  </si>
  <si>
    <t>Latest pension scheme valuation</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</si>
  <si>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</si>
  <si>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</si>
  <si>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</si>
  <si>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</si>
  <si>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post Cut-Off Date Notional Sub-Fund</t>
  </si>
  <si>
    <t>Deficit in the pre Cut-Off Date Notional Sub-Fund</t>
  </si>
  <si>
    <t>Licensee element of established deficit</t>
  </si>
  <si>
    <t>Licensee element of incremental deficit</t>
  </si>
  <si>
    <t>Other Activities</t>
  </si>
  <si>
    <t>Post-tax total fines and penalties (including GS payments)</t>
  </si>
  <si>
    <t>Ofgem related fines and penalties</t>
  </si>
  <si>
    <t>[Insert detail of fine or penalty]</t>
  </si>
  <si>
    <t>Total Ofgem related fines and penalties</t>
  </si>
  <si>
    <t>Any adjustment for tax</t>
  </si>
  <si>
    <t>Post-tax total fines and penalties</t>
  </si>
  <si>
    <t>Guaranteed Standard (GS) payments</t>
  </si>
  <si>
    <t>Total GS payments</t>
  </si>
  <si>
    <t>Post-tax total GS payments</t>
  </si>
  <si>
    <t>In this section, rows 13-99 do not apply to ESO</t>
  </si>
  <si>
    <t>(ONLY APPLIES TO NGGT - SO)</t>
  </si>
  <si>
    <t>R2</t>
  </si>
  <si>
    <t>R3</t>
  </si>
  <si>
    <t>Row 103 - difference between tax per stat accounts and tax per regulated business should deduct one from the other, not sum the two. Formula amended to =E101-E102 and dragged across.</t>
  </si>
  <si>
    <t>Row 178 - 'Total reconciling items not recognised in totex' cells D178-H178 should contain a SUM formula instead of 0s. D178 formula amended to =SUM(D153:D177) and dragged across.</t>
  </si>
  <si>
    <t>Row 180 - 'Reconciled Totex' cells D180-H180 formula is incorrect. Formula amended to =D146-D178 and dragged across.</t>
  </si>
  <si>
    <t>Data</t>
  </si>
  <si>
    <t>Cells C16-J17 and C19-J19 updated with inflation from PCFM published on 22nd July 2022.</t>
  </si>
  <si>
    <t>Incentive revenue upper limit achieved in FY22 of £3.65m (18/19 prices), NGGT forecast continuing to maximise this incentive for the remainder of T2, achieving the maximum of £3.65m.</t>
  </si>
  <si>
    <t>Incentive revenue relates to sub-category of change in environmental value. NGGT have forecasted achieving £0.12m (18/19 prices) per annum for the remainder of T2.</t>
  </si>
  <si>
    <t>B1.12</t>
  </si>
  <si>
    <t>B1.13</t>
  </si>
  <si>
    <t>B1.14</t>
  </si>
  <si>
    <t>B1.15</t>
  </si>
  <si>
    <t>B1.18</t>
  </si>
  <si>
    <t>B1.19</t>
  </si>
  <si>
    <t>B1.20</t>
  </si>
  <si>
    <t>B1.21</t>
  </si>
  <si>
    <t>B1.24</t>
  </si>
  <si>
    <t>B1.25</t>
  </si>
  <si>
    <t>B1.26</t>
  </si>
  <si>
    <t>B1.27</t>
  </si>
  <si>
    <t>B1.28</t>
  </si>
  <si>
    <t>B1.29</t>
  </si>
  <si>
    <t>B1.30</t>
  </si>
  <si>
    <t>B1.31</t>
  </si>
  <si>
    <t>B1.32</t>
  </si>
  <si>
    <t>B1.33</t>
  </si>
  <si>
    <t>B1.34</t>
  </si>
  <si>
    <t>B1.35</t>
  </si>
  <si>
    <t>B1.36</t>
  </si>
  <si>
    <t>B1.37</t>
  </si>
  <si>
    <t>B1.38</t>
  </si>
  <si>
    <t>B1.39</t>
  </si>
  <si>
    <t>B1.40</t>
  </si>
  <si>
    <t>B1.41</t>
  </si>
  <si>
    <t>B1.42</t>
  </si>
  <si>
    <t>B1.44</t>
  </si>
  <si>
    <t>B1.45</t>
  </si>
  <si>
    <t>B1.46</t>
  </si>
  <si>
    <t>G13</t>
  </si>
  <si>
    <t>G14</t>
  </si>
  <si>
    <t>G15</t>
  </si>
  <si>
    <t>G16</t>
  </si>
  <si>
    <t>G17</t>
  </si>
  <si>
    <t>G18</t>
  </si>
  <si>
    <t>G19</t>
  </si>
  <si>
    <t>G20</t>
  </si>
  <si>
    <t>G21</t>
  </si>
  <si>
    <t>G22</t>
  </si>
  <si>
    <t>G23</t>
  </si>
  <si>
    <t>G24</t>
  </si>
  <si>
    <t>G25</t>
  </si>
  <si>
    <t>G26</t>
  </si>
  <si>
    <t>G27</t>
  </si>
  <si>
    <t>G28</t>
  </si>
  <si>
    <t>G29</t>
  </si>
  <si>
    <t>G30</t>
  </si>
  <si>
    <t>G31</t>
  </si>
  <si>
    <t>H63</t>
  </si>
  <si>
    <t>H65</t>
  </si>
  <si>
    <t>H67</t>
  </si>
  <si>
    <t>H70</t>
  </si>
  <si>
    <t>H71</t>
  </si>
  <si>
    <t>H72</t>
  </si>
  <si>
    <t>H80</t>
  </si>
  <si>
    <t>H81</t>
  </si>
  <si>
    <t>H83</t>
  </si>
  <si>
    <t>H84</t>
  </si>
  <si>
    <t>H85</t>
  </si>
  <si>
    <t>H86</t>
  </si>
  <si>
    <t>H87</t>
  </si>
  <si>
    <t>H88</t>
  </si>
  <si>
    <t>H89</t>
  </si>
  <si>
    <t>H90</t>
  </si>
  <si>
    <t>H91</t>
  </si>
  <si>
    <t>H92</t>
  </si>
  <si>
    <t>H93</t>
  </si>
  <si>
    <t>H94</t>
  </si>
  <si>
    <t>H95</t>
  </si>
  <si>
    <t>H96</t>
  </si>
  <si>
    <t>H97</t>
  </si>
  <si>
    <t>H98</t>
  </si>
  <si>
    <t>H99</t>
  </si>
  <si>
    <t>H100</t>
  </si>
  <si>
    <t>H101</t>
  </si>
  <si>
    <t>H102</t>
  </si>
  <si>
    <t>H103</t>
  </si>
  <si>
    <t>H104</t>
  </si>
  <si>
    <t>H105</t>
  </si>
  <si>
    <t>H106</t>
  </si>
  <si>
    <t>H61</t>
  </si>
  <si>
    <t>H62</t>
  </si>
  <si>
    <t>H66</t>
  </si>
  <si>
    <t>H82</t>
  </si>
  <si>
    <t>H16</t>
  </si>
  <si>
    <t>H17</t>
  </si>
  <si>
    <t>H12</t>
  </si>
  <si>
    <t>H14</t>
  </si>
  <si>
    <t>H64</t>
  </si>
  <si>
    <t>H58</t>
  </si>
  <si>
    <t>L5</t>
  </si>
  <si>
    <t>L6</t>
  </si>
  <si>
    <t>L7</t>
  </si>
  <si>
    <t>L8</t>
  </si>
  <si>
    <t>L9</t>
  </si>
  <si>
    <t>L10</t>
  </si>
  <si>
    <t>L11</t>
  </si>
  <si>
    <t>L12</t>
  </si>
  <si>
    <t>L13</t>
  </si>
  <si>
    <t>Tax interest</t>
  </si>
  <si>
    <t>Rounding</t>
  </si>
  <si>
    <t>7. Consented loan to immediate parent undertaking</t>
  </si>
  <si>
    <t>R8</t>
  </si>
  <si>
    <t>Note, Dividends paid in row 11 relates to financial year 20/21, but paid in FY22.</t>
  </si>
  <si>
    <t>SONIA</t>
  </si>
  <si>
    <t>JPY</t>
  </si>
  <si>
    <t>HSBC</t>
  </si>
  <si>
    <t>BNP Paribas</t>
  </si>
  <si>
    <t>Sumitomo Bank</t>
  </si>
  <si>
    <t>Goldman Sachs</t>
  </si>
  <si>
    <t>Deutsche Bank</t>
  </si>
  <si>
    <t>RBC</t>
  </si>
  <si>
    <t>Societe Generale</t>
  </si>
  <si>
    <t>Lloyds</t>
  </si>
  <si>
    <t>MUFG</t>
  </si>
  <si>
    <t>Morgan Stanley</t>
  </si>
  <si>
    <t>Bank of America Merill Lynch</t>
  </si>
  <si>
    <t>More options/rows added to reference rate, currency and counterparty to enable more options for input on 6a. This is Ofgem's preference, rather than overwriting drop-downs, as per email from Stephanie to NGET on 16th August 2022.</t>
  </si>
  <si>
    <t xml:space="preserve">Benefits includes both non-cash benefits (BiK) and cash benefits given during the year. </t>
  </si>
  <si>
    <t xml:space="preserve">Pension is based on the aggregate value of company and individual contributions during the year. </t>
  </si>
  <si>
    <t>Bonus is based on the total Annual Performance plan (APP) award earned during the year (Short term incentive/ annual bonus). The performance period for the APP 12 months (April to March).</t>
  </si>
  <si>
    <t>Performance related pay is based on the gross vesting value of the award made under the 2019 (Long term performance plan) LTPP that vested on 1 July 2022. (Long term incentive plan). LTPPs have a 3 year vestng period with 100% of the award vesting at the end of 3 years subject to performance conditions.</t>
  </si>
  <si>
    <t xml:space="preserve">The CEO pay ratio reflects the wider workforce increases awarded this year. </t>
  </si>
  <si>
    <t>Base salary data is pro-rated (see narrative) as per appointment/resignation to/from the board.</t>
  </si>
  <si>
    <t>Share/Options/Dividend section is not applicable as explained in RFPR narrative and agreed with Ofgem.</t>
  </si>
  <si>
    <t>A 10% company contribution has been applied in line with governance document, resulting in a small reduction to RoRE.</t>
  </si>
  <si>
    <t>2021/22 SIF spend relates to Discovery Round 1 which is 100% funded, therefore no company contribution has been applied, resulting in no RoRE impact.</t>
  </si>
  <si>
    <t>As per the RFPR guidance, all NGGT financing costs are allocated to the TO.</t>
  </si>
  <si>
    <t>The tax CT600 is yet to be submitted for 2021/22. NGGT have used a 4-year average to allocate tax between entities.</t>
  </si>
  <si>
    <t>Details of enduring value adjustments can be found in the supporting narrative.</t>
  </si>
  <si>
    <t>Jonathan Butterworth and Nick Hooper's duties also cover Metering. A 90% allocation to the Regulated Business (both TO and SO) has been assumed in line with internal recharge judgements (row 37).</t>
  </si>
  <si>
    <r>
      <t xml:space="preserve">'Total Costs per latest RRP submission' totals the following cell references from the submitted RRP:
</t>
    </r>
    <r>
      <rPr>
        <b/>
        <sz val="10"/>
        <color theme="1"/>
        <rFont val="Verdana"/>
        <family val="2"/>
      </rPr>
      <t>Opex</t>
    </r>
    <r>
      <rPr>
        <sz val="10"/>
        <color theme="1"/>
        <rFont val="Verdana"/>
        <family val="2"/>
      </rPr>
      <t xml:space="preserve">
5.1 TO_Indirects'!AE13:AE19
5.1 TO_Indirects'!AE25:AE36
5.1 TO_Indirects'!AE44
5.1 TO_Indirects'!AE51:AE57) / nominal to 18/19 conversion factor
5.1 TO_Indirects'!AE68) / nominal to 18/19 conversion factor
5.1 TO_Indirects'!AE72 
5.3 TO_Direct_Opex'!AE13:AE68
6.9 Resilience'!AE14
6.9 Resilience'!AE24
5.6 Quarry_Loss'!AE13:AE21
5.7 PSUP_Opex'!AE13
5.7 PSUP_Opex'!AE20
</t>
    </r>
    <r>
      <rPr>
        <b/>
        <sz val="10"/>
        <color theme="1"/>
        <rFont val="Verdana"/>
        <family val="2"/>
      </rPr>
      <t xml:space="preserve">Capex
</t>
    </r>
    <r>
      <rPr>
        <sz val="10"/>
        <color theme="1"/>
        <rFont val="Verdana"/>
        <family val="2"/>
      </rPr>
      <t>6.1 Capex_summary'!AE13
6.1 Capex_summary'!AE27:AE31
6.1 Capex_summary'!AE40:AE41
6.1 Capex_summary'!AE47:AE59
6.1 Capex_summary'!AE63:AE83
6.1 Capex_summary'!AE87:AE104
6.1 Capex_summary'!AE108:AE109
6.1 Capex_summary'!AE115:AE121
6.1 Capex_summary'!AE142
6.1 Capex_summary'!AE166:AE172
8.11 Net_Zero'!AE13:AE28
6.1 Capex_summary'!AE127</t>
    </r>
  </si>
  <si>
    <t>'PCFM/ RRP reported Totex' takes the Total Costs per latest RRP submission and deducts the following cell references:
5.1 TO_Indirects'!AE51 / nominal to 18/19 conversion factor
5.1 TO_Indirects'!AE52 / nominal to 18/19 conversion factor
5.1 TO_Indirects'!AE54 / nominal to 18/19 conversion factor
5.1 TO_Indirects'!AE56 / nominal to 18/19 conversion factor
5.1 TO_Indirects'!AE57 / nominal to 18/19 conversion factor
5.1 TO_Indirects'!AE68 / nominal to 18/19 conversion factor</t>
  </si>
  <si>
    <t>Costs of Directly Remunerated Services</t>
  </si>
  <si>
    <t>Exceptionals</t>
  </si>
  <si>
    <t>Costs of Consented and De Minimis Services</t>
  </si>
  <si>
    <t>Network Innovation Costs</t>
  </si>
  <si>
    <t>Severance</t>
  </si>
  <si>
    <t>Pension Adjustments</t>
  </si>
  <si>
    <t>Other</t>
  </si>
  <si>
    <t>Corporate Centre Adjustment (TO)</t>
  </si>
  <si>
    <t>Depreciation, Amortisation, Profit/Loss on Disposal</t>
  </si>
  <si>
    <t>IFRS 16 Adjustment</t>
  </si>
  <si>
    <t>Capitalised Interest</t>
  </si>
  <si>
    <t>Intangible Adjustment (TO - SO)</t>
  </si>
  <si>
    <t>Non-Operational Capex Movement (TO - SO)</t>
  </si>
  <si>
    <t>Other/Roundings</t>
  </si>
  <si>
    <t>Prescribed Rates</t>
  </si>
  <si>
    <t>Licence Fees</t>
  </si>
  <si>
    <t>Security (Armed Guards)</t>
  </si>
  <si>
    <t>Fines and Penalties</t>
  </si>
  <si>
    <t>Bulk Price Differential (BPD) Costs</t>
  </si>
  <si>
    <t>Provisions</t>
  </si>
  <si>
    <t>Row 21 'Tax on Other Revenue Allowances - Innovation and Incentives only'. 
Changed formula to =('R4 - Incentives and Other Rev'!D55+'R4 - Incentives and Other Rev'!D41+'R4 - Incentives and Other Rev'!D48+'R4 - Incentives and Other Rev'!D67)/(1-INDEX(Corporate_Tax,MATCH($E$6,Data!$C$15:$N$15,0)))*INDEX(Corporate_Tax,MATCH($E$6,Data!$C$15:$N$15,0))
This means input for RoRE for SIF is also included. This row should reflect all Innovation and GSO incentives only as there is no tax allowance for Innovation/SO incentives in the PCFM. Therefore, any tax impact of Innovation should be stripped off the CT600 tax liability in order to compare 'Adjusted/forecast regulated tax liability' (row 38) and 'Tax Allowance per PCFM' (row 54) on a like-for-like basis, to calculate tax performance (rows 58&amp;60). TO Incentives impact the tax allowance in the PCFM, therefore are not required to be adjusted for on R8. This change has been agreed with Stephanie (email on 23rd August).</t>
  </si>
  <si>
    <t>Collected Regulated Network Revenue - per latest PCFM</t>
  </si>
  <si>
    <t>Row 24 - changed the description to add "per latest PCFM" for more clarity.</t>
  </si>
  <si>
    <t xml:space="preserve">R2 </t>
  </si>
  <si>
    <t>R1</t>
  </si>
  <si>
    <t>Cells J22:K28 and J49:K55 - corrected cell references in formula for 'cumulative' and RIIO-2 period'.</t>
  </si>
  <si>
    <t>R2/R3</t>
  </si>
  <si>
    <t>V1.0</t>
  </si>
  <si>
    <t>As per Stephanie's email on 11th August, on R2 we have adjusted DA as part of 'opex reconciling adjustments' that also feeds into 'Total net costs after non-price control allocations' in R3. On R3, the formula on row 71 has been updated to add back on depreciation and amortisation costs as these costs belong to the regulatory business and this row is for Total Costs not related to the price control Regulated business. We have not made the proposed change in R3 row 74 proposed by Ofgem as this row already has depreciation and amortisation removed.</t>
  </si>
  <si>
    <t>NGGT's statutory accounts are published for the total company, including non-regulated activities. NGGT have allocated the published values to the TO/SO/Other segments using the underlying accounting records.</t>
  </si>
  <si>
    <t>Formula in row 188 is pulling through an error incorrectly. Difference between Reconciled Totex and PCFM/RRP Reported Totex is less than the materiality threshold of 0.1.</t>
  </si>
  <si>
    <t>RFPR updated following RRP22 submission. Changes to the template are recorded in the change log.</t>
  </si>
  <si>
    <t>Opex to Capex Adjustment</t>
  </si>
  <si>
    <t>31/3/2019</t>
  </si>
  <si>
    <t>Pass Through costs: NIC, SIU, Hynet</t>
  </si>
  <si>
    <t>Neutrality Income not included in RRP</t>
  </si>
  <si>
    <t>IFRS 15 adjustment</t>
  </si>
  <si>
    <t>Peterborough &amp; Huntingdon T1 Allowance Deferral</t>
  </si>
  <si>
    <t>Rephasing of Allowances</t>
  </si>
  <si>
    <t>Depreciation and Amortisation</t>
  </si>
  <si>
    <t>Plus pensions: interest on scheme liabilities</t>
  </si>
  <si>
    <t>Consented loan to immediate parent undertaking</t>
  </si>
  <si>
    <t>1. allocated to Cadent Gas (statutory basis)</t>
  </si>
  <si>
    <t>2. allocated to non-regualted businesses (statutory basis)</t>
  </si>
  <si>
    <t>3. allocated to GSO (regulated basis)</t>
  </si>
  <si>
    <t>4. capitalised interest added back</t>
  </si>
  <si>
    <t>5. provision unwind added back</t>
  </si>
  <si>
    <t>6. other including roundings</t>
  </si>
  <si>
    <t>8. IFRS 16 Right of Use Lease Liability</t>
  </si>
  <si>
    <t>Available for sale investments - short term money funds</t>
  </si>
  <si>
    <t>Available for sale investments - restricted balances</t>
  </si>
  <si>
    <t>XS0048530835</t>
  </si>
  <si>
    <t>50 YR FIXED RATE DEBT: PAY 7.12500% GBP 28.2 M MAT: 08-FEB-2044</t>
  </si>
  <si>
    <t>XS0058343251</t>
  </si>
  <si>
    <t>30 YR FIXED RATE DEBT: PAY 8.75000% GBP 57.937M MAT: 06/27/25</t>
  </si>
  <si>
    <t>XS0091221258</t>
  </si>
  <si>
    <t>30 YR FIXED RATE DEBT: PAY 6.20000% GBP 50.0 M MAT: 02-OCT-2028</t>
  </si>
  <si>
    <t>XS0103338496</t>
  </si>
  <si>
    <t>18 YR FIXED RATE DEBT: PAY 7.00000% GBP 282.502M MAT: 16-DEC-2024</t>
  </si>
  <si>
    <t>XS0363511873</t>
  </si>
  <si>
    <t>30 YR FIXED RATE DEBT: PAY 6.00000% GBP 11.0 M MAT: 13-MAY-2038</t>
  </si>
  <si>
    <t>30 YR FIXED RATE DEBT: PAY 6.00000% GBP 24.0 M MAT: 13-MAY-2038</t>
  </si>
  <si>
    <t>29 YR FIXED RATE DEBT: PAY 6.00000% GBP 5.0 M MAT: 13-MAY-2038</t>
  </si>
  <si>
    <t>29 YR FIXED RATE DEBT: PAY 6.00000% GBP 8.0 M MAT: 13-MAY-2038</t>
  </si>
  <si>
    <t>XS0868855064</t>
  </si>
  <si>
    <t>15 YR FIXED RATE DEBT: PAY 3.05000% HKD 300.0 M MAT: 21-DEC-2027</t>
  </si>
  <si>
    <t>Not a bond. No ISIN.</t>
  </si>
  <si>
    <t>30 YR FIXED RATE DEBT: PAY 4.31000% USD 85.8 M MAT: 23-MAR-2029</t>
  </si>
  <si>
    <t>30 YR FIXED RATE DEBT: PAY 4.63000% USD 92.7 M MAT: 12-NOV-2029</t>
  </si>
  <si>
    <t>XS0338073926</t>
  </si>
  <si>
    <t>15.0 YR FIXED RATE DEBT: PAY 2.54000% JPY 3000.0 M MAT: 10-JAN-2023</t>
  </si>
  <si>
    <t>XS0103338140</t>
  </si>
  <si>
    <t>6.5 YR FLOATING RATE DEBT: PAY 12M/1Y RPI 4.1875% REAL RATE GBP 416.3 M MAT: 14-DEC-2022</t>
  </si>
  <si>
    <t>XS0250104345</t>
  </si>
  <si>
    <t>30 YR FLOATING RATE DEBT: PAY 12M/1Y RPI 1.6747% REAL RATE GBP 100.0 M MAT: 07-APR-2036</t>
  </si>
  <si>
    <t>XS0258589646</t>
  </si>
  <si>
    <t>40 YR FLOATING RATE DEBT: PAY 12M/1Y RPI 1.7298% REAL RATE GBP 115.0 M MAT: 28-JUN-2046</t>
  </si>
  <si>
    <t>XS0270621138</t>
  </si>
  <si>
    <t>30 YR FLOATING RATE DEBT: PAY 12M/1Y RPI 1.7540% REAL RATE GBP 300.0 M MAT: 17-OCT-2036</t>
  </si>
  <si>
    <t>XS0280586081</t>
  </si>
  <si>
    <t>30 YR FLOATING RATE DEBT: PAY 12M/1Y RPI 1.7864% REAL RATE GBP 140.0 M MAT: 12-JAN-2037</t>
  </si>
  <si>
    <t>XS0281549336</t>
  </si>
  <si>
    <t>30 YR FLOATING RATE DEBT: PAY 12M/1Y RPI 1.7552% REAL RATE GBP 50.0 M MAT: 12-JAN-2037</t>
  </si>
  <si>
    <t>XS0281936889</t>
  </si>
  <si>
    <t>30.2 YR FLOATING RATE DEBT: PAY 12M/1Y RPI 1.7712% REAL RATE GBP 25.0 M MAT: 30-MAR-2037</t>
  </si>
  <si>
    <t>XS0283715604</t>
  </si>
  <si>
    <t>30 YR FLOATING RATE DEBT: PAY 12M/1Y RPI 1.6783% REAL RATE GBP 50.0 M MAT: 30-JAN-2037</t>
  </si>
  <si>
    <t>XS0286452015</t>
  </si>
  <si>
    <t>30 YR FLOATING RATE DEBT: PAY 12M/1Y RPI 1.9158% REAL RATE GBP 100.0 M MAT: 20-FEB-2037</t>
  </si>
  <si>
    <t>XS0286151914</t>
  </si>
  <si>
    <t>30.5 YR FLOATING RATE DEBT: PAY 12M/1Y RPI 1.9350% REAL RATE GBP 25.0 M MAT: 21-AUG-2037</t>
  </si>
  <si>
    <t>XS0289189093</t>
  </si>
  <si>
    <t>30.2 YR FLOATING RATE DEBT: PAY 12M/1Y RPI 1.8928% REAL RATE GBP 50.0 M MAT: 01-MAY-2037</t>
  </si>
  <si>
    <t>XS0287794456</t>
  </si>
  <si>
    <t>30.2 YR FLOATING RATE DEBT: PAY 12M/1Y RPI 1.9211% REAL RATE GBP 65.0 M MAT: 01-MAY-2037</t>
  </si>
  <si>
    <t>XS0291309226</t>
  </si>
  <si>
    <t>30.1 YR FLOATING RATE DEBT: PAY 12M/1Y RPI 1.7642% REAL RATE GBP 50.0 M MAT: 16-APR-2037</t>
  </si>
  <si>
    <t>XS0291522091</t>
  </si>
  <si>
    <t>30.4 YR FLOATING RATE DEBT: PAY 12M/1Y RPI 1.7762% REAL RATE GBP 100.0 M MAT: 28-AUG-2037</t>
  </si>
  <si>
    <t>XS0293033717</t>
  </si>
  <si>
    <t>32 YR FLOATING RATE DEBT: PAY 12M/1Y RPI 1.7744% REAL RATE GBP 100.0 M MAT: 04-APR-2039</t>
  </si>
  <si>
    <t>XS0316596476</t>
  </si>
  <si>
    <t>45 YR FLOATING RATE DEBT: PAY 12M/1Y RPI 1.5803% REAL RATE GBP 75.0 M MAT: 22-AUG-2052</t>
  </si>
  <si>
    <t>XS0327278247</t>
  </si>
  <si>
    <t>30 YR FLOATING RATE DEBT: PAY 12M/1Y RPI 1.8080% REAL RATE GBP 25.0 M MAT: 26-OCT-2037</t>
  </si>
  <si>
    <t>XS0529594037</t>
  </si>
  <si>
    <t>31 YR FLOATING RATE DEBT: PAY 12M/1Y RPI 2.4840% REAL RATE GBP 50.0 M MAT: 29-JUL-2041</t>
  </si>
  <si>
    <t>XS0034394709</t>
  </si>
  <si>
    <t>30 YR DISCOUNT DEBT Issued: PRICE 8.52% USD 1474.0 M MAT: 04-NOV-2021</t>
  </si>
  <si>
    <t>XS2112228676</t>
  </si>
  <si>
    <t>11.0 YR FIXED RATE DEBT: PAY 1.37500% GBP 300.0 M MAT: 07-FEB-2031</t>
  </si>
  <si>
    <t>XS2284250284</t>
  </si>
  <si>
    <t>12 YR FIXED RATE DEBT: PAY 1.12500% GBP 250.0 M MAT: 14-JAN-2033</t>
  </si>
  <si>
    <t>XS2284250441</t>
  </si>
  <si>
    <t>22 YR FIXED RATE DEBT: PAY 1.62500% GBP 250.0 M MAT: 14-JAN-2043</t>
  </si>
  <si>
    <t>N/A</t>
  </si>
  <si>
    <t>0% Fixed - 0% ;100% Floating - 6M Libor +98 bp</t>
  </si>
  <si>
    <t>0% Fixed - 0% ;100% Floating - 3M Libor +30 bp</t>
  </si>
  <si>
    <t>0% Fixed - 0% ;100% Floating - 6M Libor +39 bp</t>
  </si>
  <si>
    <t>0% Fixed - 0% ;100% Floating - 6M Libor +70 bp</t>
  </si>
  <si>
    <t xml:space="preserve">17.4287652645862% Fixed - 12.95946% ;0% Floating - </t>
  </si>
  <si>
    <t>15 YR FLOATING RATE DEBT: PAY 12M/1Y RPI 1.8800% REAL RATE GBP 180.0 M MAT: 22-MAR-2022</t>
  </si>
  <si>
    <t>15 YR FLOATING RATE DEBT: PAY 12M/1Y RPI 2.1400% REAL RATE GBP 190.0 M MAT: 03-MAY-2022</t>
  </si>
  <si>
    <t>IFRS 16 Right of Use Lease Liability</t>
  </si>
  <si>
    <t>On demand</t>
  </si>
  <si>
    <t>S832</t>
  </si>
  <si>
    <t>15 YR SWAP: PAY 6M Libor +98 bp GBP 24.0 M RCV 3.05000% HKD 300.0 M MAT: 21-DEC-2027</t>
  </si>
  <si>
    <t>6M</t>
  </si>
  <si>
    <t>SW278B</t>
  </si>
  <si>
    <t>30 YR SWAP: PAY 3M Libor +30 bp GBP 52.2 M RCV 4.31000% USD 85.8 M MAT: 23-MAR-2029</t>
  </si>
  <si>
    <t>3m</t>
  </si>
  <si>
    <t>SW335A</t>
  </si>
  <si>
    <t>30 YR SWAP: PAY 6M Libor +39 bp GBP 11.2 M RCV 4.63000% USD 18.5 M MAT: 12-NOV-2029</t>
  </si>
  <si>
    <t>SW329</t>
  </si>
  <si>
    <t>30 YR SWAP: PAY 6M Libor +39 bp GBP 44.8 M RCV 4.63000% USD 74.2 M MAT: 12-NOV-2029</t>
  </si>
  <si>
    <t>S396</t>
  </si>
  <si>
    <t>15 YR SWAP: PAY 6M Libor +70 bp GBP 13.3 M RCV 2.54000% JPY 3000.0 M MAT: 10-JAN-2023</t>
  </si>
  <si>
    <t>SW316</t>
  </si>
  <si>
    <t>21.5 YR SWAP: PAY 12.95946% GBP 45.7 M RCV 8.37863% USD 256.9 M MAT: 04-NOV-2021</t>
  </si>
  <si>
    <t>6m</t>
  </si>
  <si>
    <t>SW766</t>
  </si>
  <si>
    <t>19.5 YR SWAP: PAY 8.37863% USD 5.2 M RCV 12.95946% GBP 1.0 M MAT: 04-NOV-2021</t>
  </si>
  <si>
    <t>S1064</t>
  </si>
  <si>
    <t>6.5 YR SWAP: PAY 1D SONIA +123 bp GBP 24.0 M RCV 3.05000% HKD 300.0 M MAT: 21-DEC-2027</t>
  </si>
  <si>
    <t>S1063</t>
  </si>
  <si>
    <t>1.5 YR SWAP: PAY 1D SONIA +84 bp GBP 13.3 M RCV 2.54000% JPY 3000.0 M MAT: 10-JAN-2023</t>
  </si>
  <si>
    <t>S1096</t>
  </si>
  <si>
    <t>7.5 YR SWAP: PAY 1D SONIA +42 bp GBP 52.2 M RCV 4.31000% USD 85.8 M MAT: 23-MAR-2029</t>
  </si>
  <si>
    <t>3M</t>
  </si>
  <si>
    <t>S1096 variant1</t>
  </si>
  <si>
    <t>7.5 YR SWAP: PAY 0.00000% GBP 52.2 M RCV 0.00000% JPY 10000.0 M MAT: 23-MAR-2029</t>
  </si>
  <si>
    <t>S1096 variant2</t>
  </si>
  <si>
    <t>7.5 YR SWAP: PAY 0.00000% USD 85.8 M RCV 0.00000% GBP 52.2 M MAT: 23-MAR-2029</t>
  </si>
  <si>
    <t>S1119</t>
  </si>
  <si>
    <t>8 YR SWAP: PAY 1D SONIA +65 bp GBP 11.2 M RCV 4.63000% USD 18.5 M MAT: 12-NOV-2029</t>
  </si>
  <si>
    <t>S1119 Variant1</t>
  </si>
  <si>
    <t>8 YR SWAP: PAY 0.00000% USD 18.5 M RCV 0.00000% GBP 11.2 M MAT: 12-NOV-2029</t>
  </si>
  <si>
    <t>S1119 variant2</t>
  </si>
  <si>
    <t>8 YR SWAP: PAY 0.00000% GBP 11.2 M RCV 0.00000% JPY 2000.0 M MAT: 12-NOV-2029</t>
  </si>
  <si>
    <t>S1120</t>
  </si>
  <si>
    <t>8 YR SWAP: PAY 1D SONIA +65 bp GBP 44.8 M RCV 4.63000% USD 74.2 M MAT: 12-NOV-2029</t>
  </si>
  <si>
    <t>S1120 variant1</t>
  </si>
  <si>
    <t>8 YR SWAP: PAY 0.00000% GBP 44.8 M RCV 0.00000% JPY 8000.0 M MAT: 12-NOV-2029</t>
  </si>
  <si>
    <t>S1120 variant2</t>
  </si>
  <si>
    <t>8 YR SWAP: PAY 0.00000% USD 74.2 M RCV 0.00000% GBP 44.8 M MAT: 12-NOV-2029</t>
  </si>
  <si>
    <t>Trade early terminated on 21/06/21 (original maturity 21/12/27)</t>
  </si>
  <si>
    <t>Trade early terminated on 24/09/21 (original maturity 23/03/29)</t>
  </si>
  <si>
    <t>Trade early terminated on 12/11/21 (original maturity 12/11/29)</t>
  </si>
  <si>
    <t>Trade early terminated on 12/07/21 (original maturity 10/01/23)</t>
  </si>
  <si>
    <t>Trade early terminated on 04/11/21 (original maturity 04/11/21)</t>
  </si>
  <si>
    <t>Trade early terminated on 23/09/21 (original maturity 23/03/29)</t>
  </si>
  <si>
    <t>S254</t>
  </si>
  <si>
    <t>19.2 YR SWAP: PAY 6M Libor +409 bp GBP RCV 8.75000% GBP 20.0 M MAT: 27-JUN-2025</t>
  </si>
  <si>
    <t>S238</t>
  </si>
  <si>
    <t>17.3 YR SWAP: PAY 6M Libor +265 bp GBP RCV 7.00000% GBP 20.0 M MAT: 16-DEC-2024</t>
  </si>
  <si>
    <t>S550</t>
  </si>
  <si>
    <t>29.3 YR SWAP: PAY 6M Libor +213 bp GBP RCV 6.00000% GBP 23.0 M MAT: 13-MAY-2038</t>
  </si>
  <si>
    <t>S791</t>
  </si>
  <si>
    <t>27.5 YR SWAP: PAY 6M Libor +210 bp GBP RCV 6.00000% GBP 18.0 M MAT: 13-MAY-2038</t>
  </si>
  <si>
    <t>S941</t>
  </si>
  <si>
    <t>21.6 YR SWAP: PAY 6.00000% GBP RCV 6M Libor +474 bp GBP 18.0 M MAT: 13-MAY-2038</t>
  </si>
  <si>
    <t>12m</t>
  </si>
  <si>
    <t>SW632</t>
  </si>
  <si>
    <t>28.6 YR SWAP: PAY 5.63500% GBP RCV 6M Libor +39 bp GBP 10.0 M MAT: 12-NOV-2029</t>
  </si>
  <si>
    <t>SW706</t>
  </si>
  <si>
    <t>28.1 YR SWAP: PAY 5.64250% GBP RCV 6M Libor +39 bp GBP 9.8 M MAT: 12-NOV-2029</t>
  </si>
  <si>
    <t>S922</t>
  </si>
  <si>
    <t>14.1 YR SWAP: PAY 5.84500% GBP RCV 6M Libor +39 bp GBP 12.5 M MAT: 12-NOV-2029</t>
  </si>
  <si>
    <t>SW302</t>
  </si>
  <si>
    <t>22.4 YR SWAP: PAY 6M Libor +337 bp GBP RCV 9.10498% GBP 26.8 M MAT: 04-NOV-2021</t>
  </si>
  <si>
    <t>SW382</t>
  </si>
  <si>
    <t>21.8 YR SWAP: PAY 6M Libor +162 bp GBP RCV 7.41043% GBP 40.0 M MAT: 04-NOV-2021</t>
  </si>
  <si>
    <t>S953</t>
  </si>
  <si>
    <t>10.7 YR SWAP: PAY 1.79500% GBP RCV 3M Libor +30 bp GBP 52.2 M MAT: 23-MAR-2029</t>
  </si>
  <si>
    <t>S954</t>
  </si>
  <si>
    <t>11.3 YR SWAP: PAY 1.96000% GBP RCV 6M Libor +39 bp GBP 23.8 M MAT: 12-NOV-2029</t>
  </si>
  <si>
    <t>S995</t>
  </si>
  <si>
    <t>11.0 YR SWAP: RCV 1.37500% GBP PAY 6M Libor +61 bp GBP 40.0 M MAT: 07-FEB-2031</t>
  </si>
  <si>
    <t>S1026</t>
  </si>
  <si>
    <t>10.1 YR SWAP: RCV 1.37500% GBP PAY 6M Libor +93 bp GBP 50.0 M MAT: 07-FEB-2031</t>
  </si>
  <si>
    <t>S1027</t>
  </si>
  <si>
    <t>10.1 YR SWAP: RCV 1.37500% GBP PAY 6M Libor +92 bp GBP 35.0 M MAT: 07-FEB-2031</t>
  </si>
  <si>
    <t>S1028</t>
  </si>
  <si>
    <t>22 YR SWAP: RCV 1.62500% GBP PAY 6M Libor +94 bp GBP 37.5 M MAT: 14-JAN-2043</t>
  </si>
  <si>
    <t>S1029</t>
  </si>
  <si>
    <t>S1033</t>
  </si>
  <si>
    <t>10 YR SWAP: RCV 1.37500% GBP PAY 1D SONIA +88 bp GBP 40.0 M MAT: 07-FEB-2031</t>
  </si>
  <si>
    <t>12M</t>
  </si>
  <si>
    <t>S1034</t>
  </si>
  <si>
    <t>10 YR SWAP: RCV 1.37500% GBP PAY 1D SONIA +120 bp GBP 50.0 M MAT: 07-FEB-2031</t>
  </si>
  <si>
    <t>S1035</t>
  </si>
  <si>
    <t>10 YR SWAP: RCV 1.37500% GBP PAY 1D SONIA +119 bp GBP 35.0 M MAT: 07-FEB-2031</t>
  </si>
  <si>
    <t>S1040</t>
  </si>
  <si>
    <t>22 YR SWAP: RCV 1.62500% GBP PAY 1D SONIA +122 bp GBP 37.5 M MAT: 14-JAN-2043</t>
  </si>
  <si>
    <t>S1041</t>
  </si>
  <si>
    <t>S1051</t>
  </si>
  <si>
    <t>3.5 YR SWAP: PAY 1D SONIA +287 bp GBP RCV 7.00000% GBP 5.0 M MAT: 16-DEC-2024</t>
  </si>
  <si>
    <t>S1052</t>
  </si>
  <si>
    <t>4.0 YR SWAP: PAY 1D SONIA +432 bp GBP RCV 8.75000% GBP 16.0 M MAT: 27-JUN-2025</t>
  </si>
  <si>
    <t>S1091</t>
  </si>
  <si>
    <t>16.5 YR SWAP: PAY 1D SONIA +148 bp GBP RCV 6.00000% GBP 15.0 M MAT: 13-MAY-2038</t>
  </si>
  <si>
    <t>S1092</t>
  </si>
  <si>
    <t>16.5 YR SWAP: PAY 1D SONIA +145 bp GBP RCV 6.00000% GBP 15.0 M MAT: 13-MAY-2038</t>
  </si>
  <si>
    <t>S1094</t>
  </si>
  <si>
    <t>16.5 YR SWAP: PAY 1D SONIA +237 bp GBP RCV 6.00000% GBP 18.0 M MAT: 13-MAY-2038</t>
  </si>
  <si>
    <t>S1093</t>
  </si>
  <si>
    <t>16.5 YR SWAP: PAY 1D SONIA +241 bp GBP RCV 6.00000% GBP 13.0 M MAT: 13-MAY-2038</t>
  </si>
  <si>
    <t>S1097</t>
  </si>
  <si>
    <t>7.5 YR SWAP: PAY 1.79500% GBP RCV 1D SONIA +42 bp GBP 52.2 M MAT: 23-MAR-2029</t>
  </si>
  <si>
    <t>S1117</t>
  </si>
  <si>
    <t>8 YR SWAP: PAY 5.63500% GBP RCV 1D SONIA +65 bp GBP 10.0 M MAT: 12-NOV-2029</t>
  </si>
  <si>
    <t>S1118</t>
  </si>
  <si>
    <t>8 YR SWAP: PAY 5.64250% GBP RCV 1D SONIA +65 bp GBP 9.8 M MAT: 12-NOV-2029</t>
  </si>
  <si>
    <t>S1095</t>
  </si>
  <si>
    <t>17 YR SWAP: PAY 6.00000% GBP RCV 1D SONIA +501 bp GBP 18.0 M MAT: 13-MAY-2038</t>
  </si>
  <si>
    <t>S1121</t>
  </si>
  <si>
    <t>8 YR SWAP: PAY 5.84500% GBP RCV 1D SONIA +65 bp GBP 12.5 M MAT: 12-NOV-2029</t>
  </si>
  <si>
    <t>S1122</t>
  </si>
  <si>
    <t>8 YR SWAP: PAY 1.96000% GBP RCV 1D SONIA +65 bp GBP 23.8 M MAT: 12-NOV-2029</t>
  </si>
  <si>
    <t>S481</t>
  </si>
  <si>
    <t>29.8 YR SWAP: PAY 6M Libor +120 bp GBP RCV 6.00000% GBP 15.0 M MAT: 13-MAY-2038</t>
  </si>
  <si>
    <t>S482</t>
  </si>
  <si>
    <t>29.8 YR SWAP: PAY 6M Libor +117 bp GBP RCV 6.00000% GBP 15.0 M MAT: 13-MAY-2038</t>
  </si>
  <si>
    <t>Trade early terminated on 04/11/19 (original maturity 08/02/44)</t>
  </si>
  <si>
    <t>Trade early terminated on 25/02/20 (original maturity 27/06/25)</t>
  </si>
  <si>
    <t>Trade early terminated on 04/11/19 (original maturity 02/10/28)</t>
  </si>
  <si>
    <t>Trade early terminated on 25/03/19 (original maturity 13/05/38)</t>
  </si>
  <si>
    <t>Trade early terminated on 28/02/20 (original maturity 27/06/25)</t>
  </si>
  <si>
    <t>Trade early terminated on 03/06/20 (original maturity 02/10/28)</t>
  </si>
  <si>
    <t>Trade early terminated on 03/06/20 (original maturity 16/12/24)</t>
  </si>
  <si>
    <t>Trade early terminated on 03/06/20 (original maturity 13/05/38)</t>
  </si>
  <si>
    <t>Trade early terminated on 13/10/20 (original maturity 13/05/38)</t>
  </si>
  <si>
    <t>Trade early terminated on 26/11/21 (original maturity 13/05/38)</t>
  </si>
  <si>
    <t>Trade early terminated on 26/11/21 (original maturity 12/11/29)</t>
  </si>
  <si>
    <t>Trade early terminated on 15/11/21 (original maturity 13/05/38)</t>
  </si>
  <si>
    <t>Trade early terminated on 09/08/21 (original maturity 07/02/31)</t>
  </si>
  <si>
    <t>Trade early terminated on 14/07/21 (original maturity 14/01/43)</t>
  </si>
  <si>
    <t>Trade early terminated on 26/11/21 (original maturity 14/01/43)</t>
  </si>
  <si>
    <t>Trade early terminated on 25/11/21 (original maturity 16/12/24)</t>
  </si>
  <si>
    <t>LPI001</t>
  </si>
  <si>
    <t>37 YR SWAP: PAY 12M/1Y RPI 1.6298% REAL RATE GBP RCV 12M/1Y RPI 1.6298% REAL RATE GBP 100.0 M MAT: 10-AUG-2048</t>
  </si>
  <si>
    <t>LPI002</t>
  </si>
  <si>
    <t>37 YR SWAP: PAY 12M/1Y RPI 1.5522% REAL RATE GBP RCV 12M/1Y RPI 1.5522% REAL RATE GBP 100.0 M MAT: 14-AUG-2048</t>
  </si>
  <si>
    <t>Trade early terminated on 20/01/22 (original maturity 10/08/48)</t>
  </si>
  <si>
    <t>Trade early terminated on 20/01/22 (original maturity 14/08/48)</t>
  </si>
  <si>
    <t>Net Cross Currency Swaps</t>
  </si>
  <si>
    <t>Net Interest and Inflation Rate Swaps</t>
  </si>
  <si>
    <t>Overdraft</t>
  </si>
  <si>
    <t>Other borrowings</t>
  </si>
  <si>
    <t>Tax and Other</t>
  </si>
  <si>
    <t>Tax Income</t>
  </si>
  <si>
    <t>Collateral Income</t>
  </si>
  <si>
    <t>Collateral</t>
  </si>
  <si>
    <t>BG Tax Accrual</t>
  </si>
  <si>
    <t>Facility Fees</t>
  </si>
  <si>
    <t>Swap termination</t>
  </si>
  <si>
    <t>Commercial business</t>
  </si>
  <si>
    <t>1. Gas Distribution share of net debt</t>
  </si>
  <si>
    <t>2. Non-regulated businesses share of net debt (primarily Metering business)</t>
  </si>
  <si>
    <t>3. GSO share of net debt</t>
  </si>
  <si>
    <t>4. Fair value adjustments</t>
  </si>
  <si>
    <t>5. Accrued interest</t>
  </si>
  <si>
    <t>6. Derivatives - other than cross currency swaps</t>
  </si>
  <si>
    <t>7. IFRS 16 Right of Use Lease Liability</t>
  </si>
  <si>
    <t>8. [Insert adjustment as necessary]</t>
  </si>
  <si>
    <t>9. [Insert adjustment as necessary]</t>
  </si>
  <si>
    <t>10. [Insert adjustment as necessary]</t>
  </si>
  <si>
    <t>11. [Insert adjustment as necessary]</t>
  </si>
  <si>
    <t>12. [Insert adjustment as necessary]</t>
  </si>
  <si>
    <t>Dividend attributable to NGGSO</t>
  </si>
  <si>
    <t>Dividend attributable to Metering</t>
  </si>
  <si>
    <t>Dividend attributable to LNG</t>
  </si>
  <si>
    <t>Dividend attributable to Other and de minimis activities</t>
  </si>
  <si>
    <t>Philip Sheppard</t>
  </si>
  <si>
    <t>Jonathan Butterworth</t>
  </si>
  <si>
    <t>Nick Hooper</t>
  </si>
  <si>
    <t>Severance pay</t>
  </si>
  <si>
    <t>Other cash benefits</t>
  </si>
  <si>
    <t>Non-cash benefits</t>
  </si>
  <si>
    <t>NGGT's statutory accounts are published for the total company, including non-regulated activities. NGGT have allocated the published values to the TO/SO/Other segments using the underlying accounting records, where possible.</t>
  </si>
  <si>
    <t xml:space="preserve">LPP/APP/Pensions are full-year values as it is not feasible/sensible to pro-rate. </t>
  </si>
  <si>
    <t>Signage of rows 64 and 66 have been amended to align with T1, and as agreed with Ofgem 13th October</t>
  </si>
  <si>
    <t>V1.1</t>
  </si>
  <si>
    <t>Not formally resubmitted to Ofgem, Ofgem agreed revised version could be published via email 13th October 2022</t>
  </si>
  <si>
    <t>17th October 2022</t>
  </si>
  <si>
    <t>Formula amended in rows 64 and 66 of R8 to correct signage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</si>
</sst>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7">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dd\ mmm\ yyyy"/>
    <numFmt numFmtId="348" formatCode="#,##0_);[Red]\(#,##0\);\-"/>
    <numFmt numFmtId="349" formatCode="_(* #,##0.000_);_(* \(#,##0.000\);_(* &quot;-&quot;??_);_(@_)"/>
    <numFmt numFmtId="350" formatCode="[$-F800]dddd\,\ mmmm\ dd\,\ yyyy"/>
    <numFmt numFmtId="351" formatCode="0.00000000%"/>
    <numFmt numFmtId="352" formatCode="_-* #,##0.0_-;\-* #,##0.0_-;_-* &quot;-&quot;?_-;_-@_-"/>
    <numFmt numFmtId="353" formatCode="&quot;£&quot;#,##0.0"/>
    <numFmt numFmtId="354" formatCode="0.00000"/>
    <numFmt numFmtId="355" formatCode="#,##0.0;\-#,##0.0;\-;@"/>
    <numFmt numFmtId="356" formatCode="#,##0.0;\(#,##0.0\)"/>
    <numFmt numFmtId="357" formatCode="0.0000000"/>
    <numFmt numFmtId="358" formatCode="#,##0.0%;\(#,##0.0%\)"/>
    <numFmt numFmtId="359" formatCode="#,##0%;\(#,##0%\)"/>
    <numFmt numFmtId="360" formatCode="#,##0.000000000000000000"/>
  </numFmts>
  <fonts count="303">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6"/>
      <color theme="0"/>
      <name val="CG Omega"/>
    </font>
    <font>
      <sz val="16"/>
      <color theme="0"/>
      <name val="CG Omega"/>
    </font>
    <font>
      <vertAlign val="subscript"/>
      <sz val="10"/>
      <color theme="1"/>
      <name val="Verdana"/>
      <family val="2"/>
    </font>
    <font>
      <b/>
      <u/>
      <sz val="10"/>
      <color theme="1"/>
      <name val="Verdana"/>
      <family val="2"/>
    </font>
    <font>
      <b/>
      <vertAlign val="subscript"/>
      <sz val="14"/>
      <color theme="1"/>
      <name val="Verdana"/>
      <family val="2"/>
    </font>
    <font>
      <b/>
      <sz val="14"/>
      <color theme="1"/>
      <name val="Verdana"/>
      <family val="2"/>
    </font>
    <font>
      <b/>
      <sz val="6"/>
      <color rgb="FF202124"/>
      <name val="Arial"/>
      <family val="2"/>
    </font>
    <font>
      <b/>
      <sz val="10"/>
      <color rgb="FFFF0000"/>
      <name val="Verdana"/>
      <family val="2"/>
    </font>
    <font>
      <b/>
      <sz val="11"/>
      <color theme="1"/>
      <name val="Calibri"/>
      <family val="2"/>
      <scheme val="minor"/>
    </font>
    <font>
      <sz val="1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sz val="9"/>
      <color theme="0" tint="-0.34998626667073579"/>
      <name val="CG Omega"/>
      <family val="2"/>
    </font>
    <font>
      <b/>
      <sz val="10"/>
      <name val="Gill Sans MT"/>
      <family val="2"/>
    </font>
    <font>
      <b/>
      <sz val="11"/>
      <name val="Calibri"/>
      <family val="2"/>
      <scheme val="minor"/>
    </font>
    <font>
      <b/>
      <sz val="9"/>
      <color theme="1"/>
      <name val="Verdana"/>
      <family val="2"/>
    </font>
    <font>
      <b/>
      <sz val="10"/>
      <color theme="0" tint="-0.34998626667073579"/>
      <name val="Verdana"/>
      <family val="2"/>
    </font>
    <font>
      <sz val="10"/>
      <color rgb="FFFF0000"/>
      <name val="Gill Sans MT"/>
      <family val="2"/>
    </font>
    <font>
      <b/>
      <sz val="12"/>
      <color theme="1"/>
      <name val="Calibri"/>
      <family val="2"/>
      <scheme val="minor"/>
    </font>
    <font>
      <sz val="12"/>
      <color theme="1"/>
      <name val="Calibri"/>
      <family val="2"/>
      <scheme val="minor"/>
    </font>
    <font>
      <b/>
      <sz val="12"/>
      <name val="Calibri"/>
      <family val="2"/>
      <scheme val="minor"/>
    </font>
    <font>
      <b/>
      <i/>
      <sz val="11"/>
      <name val="Calibri"/>
      <family val="2"/>
      <scheme val="minor"/>
    </font>
    <font>
      <b/>
      <sz val="9"/>
      <color theme="0"/>
      <name val="CG Omega"/>
      <family val="2"/>
    </font>
  </fonts>
  <fills count="139">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99CCFF"/>
        <bgColor indexed="64"/>
      </patternFill>
    </fill>
    <fill>
      <patternFill patternType="solid">
        <fgColor rgb="FFFFFFFF"/>
        <bgColor indexed="64"/>
      </patternFill>
    </fill>
    <fill>
      <patternFill patternType="solid">
        <fgColor rgb="FFD9D9D9"/>
        <bgColor indexed="64"/>
      </patternFill>
    </fill>
    <fill>
      <patternFill patternType="solid">
        <fgColor rgb="FFC0C0C0"/>
        <bgColor indexed="64"/>
      </patternFill>
    </fill>
    <fill>
      <patternFill patternType="solid">
        <fgColor theme="3" tint="0.79998168889431442"/>
        <bgColor indexed="64"/>
      </patternFill>
    </fill>
    <fill>
      <patternFill patternType="solid">
        <fgColor rgb="FFFFFFAB"/>
        <bgColor indexed="64"/>
      </patternFill>
    </fill>
  </fills>
  <borders count="16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bottom/>
      <diagonal/>
    </border>
    <border>
      <left style="thin">
        <color indexed="64"/>
      </left>
      <right style="thin">
        <color theme="0" tint="-0.499984740745262"/>
      </right>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right/>
      <top style="hair">
        <color theme="0" tint="-0.499984740745262"/>
      </top>
      <bottom/>
      <diagonal/>
    </border>
    <border>
      <left/>
      <right/>
      <top/>
      <bottom style="hair">
        <color theme="0" tint="-0.499984740745262"/>
      </bottom>
      <diagonal/>
    </border>
    <border>
      <left style="thin">
        <color theme="0" tint="-0.499984740745262"/>
      </left>
      <right/>
      <top style="thin">
        <color theme="0" tint="-0.499984740745262"/>
      </top>
      <bottom/>
      <diagonal/>
    </border>
    <border>
      <left style="dotted">
        <color indexed="64"/>
      </left>
      <right/>
      <top/>
      <bottom/>
      <diagonal/>
    </border>
    <border>
      <left style="dotted">
        <color indexed="64"/>
      </left>
      <right style="thin">
        <color theme="0" tint="-0.499984740745262"/>
      </right>
      <top style="thin">
        <color indexed="64"/>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indexed="64"/>
      </left>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right style="thin">
        <color indexed="64"/>
      </right>
      <top style="thin">
        <color indexed="64"/>
      </top>
      <bottom style="thin">
        <color indexed="64"/>
      </bottom>
      <diagonal/>
    </border>
    <border>
      <left style="dotted">
        <color indexed="64"/>
      </left>
      <right/>
      <top style="thin">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medium">
        <color rgb="FF000000"/>
      </left>
      <right style="thin">
        <color theme="0" tint="-0.499984740745262"/>
      </right>
      <top style="thin">
        <color indexed="64"/>
      </top>
      <bottom style="thin">
        <color theme="0" tint="-0.499984740745262"/>
      </bottom>
      <diagonal/>
    </border>
    <border>
      <left style="thin">
        <color theme="0" tint="-0.499984740745262"/>
      </left>
      <right style="medium">
        <color rgb="FF000000"/>
      </right>
      <top style="thin">
        <color theme="0" tint="-0.499984740745262"/>
      </top>
      <bottom style="thin">
        <color theme="0" tint="-0.499984740745262"/>
      </bottom>
      <diagonal/>
    </border>
    <border>
      <left style="medium">
        <color rgb="FF000000"/>
      </left>
      <right style="thin">
        <color theme="0" tint="-0.499984740745262"/>
      </right>
      <top style="thin">
        <color theme="0" tint="-0.499984740745262"/>
      </top>
      <bottom style="thin">
        <color theme="0" tint="-0.499984740745262"/>
      </bottom>
      <diagonal/>
    </border>
    <border>
      <left style="medium">
        <color rgb="FF000000"/>
      </left>
      <right/>
      <top style="thin">
        <color theme="0" tint="-0.499984740745262"/>
      </top>
      <bottom style="thin">
        <color theme="0" tint="-0.499984740745262"/>
      </bottom>
      <diagonal/>
    </border>
    <border>
      <left style="medium">
        <color rgb="FF000000"/>
      </left>
      <right/>
      <top style="thin">
        <color theme="0" tint="-0.499984740745262"/>
      </top>
      <bottom style="medium">
        <color rgb="FF000000"/>
      </bottom>
      <diagonal/>
    </border>
    <border>
      <left style="thin">
        <color theme="0" tint="-0.499984740745262"/>
      </left>
      <right/>
      <top style="thin">
        <color theme="0" tint="-0.499984740745262"/>
      </top>
      <bottom style="medium">
        <color rgb="FF000000"/>
      </bottom>
      <diagonal/>
    </border>
    <border>
      <left style="thin">
        <color theme="0" tint="-0.499984740745262"/>
      </left>
      <right style="thin">
        <color theme="0" tint="-0.499984740745262"/>
      </right>
      <top style="thin">
        <color theme="0" tint="-0.499984740745262"/>
      </top>
      <bottom style="medium">
        <color rgb="FF000000"/>
      </bottom>
      <diagonal/>
    </border>
    <border>
      <left style="thin">
        <color theme="0" tint="-0.499984740745262"/>
      </left>
      <right style="medium">
        <color rgb="FF000000"/>
      </right>
      <top style="thin">
        <color theme="0" tint="-0.499984740745262"/>
      </top>
      <bottom style="medium">
        <color rgb="FF000000"/>
      </bottom>
      <diagonal/>
    </border>
    <border>
      <left style="medium">
        <color rgb="FF000000"/>
      </left>
      <right style="thin">
        <color theme="0" tint="-0.499984740745262"/>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theme="0" tint="-0.499984740745262"/>
      </left>
      <right style="thin">
        <color theme="0" tint="-0.499984740745262"/>
      </right>
      <top style="medium">
        <color rgb="FF000000"/>
      </top>
      <bottom style="medium">
        <color rgb="FF000000"/>
      </bottom>
      <diagonal/>
    </border>
    <border>
      <left style="thin">
        <color theme="0" tint="-0.499984740745262"/>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theme="0" tint="-0.499984740745262"/>
      </right>
      <top style="medium">
        <color rgb="FF000000"/>
      </top>
      <bottom style="thin">
        <color theme="0" tint="-0.499984740745262"/>
      </bottom>
      <diagonal/>
    </border>
    <border>
      <left style="thin">
        <color theme="0" tint="-0.499984740745262"/>
      </left>
      <right style="thin">
        <color theme="0" tint="-0.499984740745262"/>
      </right>
      <top style="medium">
        <color rgb="FF000000"/>
      </top>
      <bottom style="thin">
        <color theme="0" tint="-0.499984740745262"/>
      </bottom>
      <diagonal/>
    </border>
    <border>
      <left style="thin">
        <color theme="0" tint="-0.499984740745262"/>
      </left>
      <right/>
      <top style="medium">
        <color rgb="FF000000"/>
      </top>
      <bottom style="thin">
        <color theme="0" tint="-0.499984740745262"/>
      </bottom>
      <diagonal/>
    </border>
    <border>
      <left style="thin">
        <color theme="0" tint="-0.499984740745262"/>
      </left>
      <right style="medium">
        <color rgb="FF000000"/>
      </right>
      <top style="medium">
        <color rgb="FF000000"/>
      </top>
      <bottom style="thin">
        <color theme="0" tint="-0.499984740745262"/>
      </bottom>
      <diagonal/>
    </border>
    <border>
      <left style="thin">
        <color theme="0" tint="-0.499984740745262"/>
      </left>
      <right style="thin">
        <color indexed="64"/>
      </right>
      <top style="medium">
        <color rgb="FF000000"/>
      </top>
      <bottom style="thin">
        <color theme="0" tint="-0.499984740745262"/>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theme="0" tint="-0.499984740745262"/>
      </right>
      <top style="thin">
        <color theme="0" tint="-0.499984740745262"/>
      </top>
      <bottom style="medium">
        <color rgb="FF000000"/>
      </bottom>
      <diagonal/>
    </border>
    <border>
      <left style="thin">
        <color theme="0" tint="-0.499984740745262"/>
      </left>
      <right style="thin">
        <color indexed="64"/>
      </right>
      <top style="thin">
        <color theme="0" tint="-0.499984740745262"/>
      </top>
      <bottom style="medium">
        <color rgb="FF000000"/>
      </bottom>
      <diagonal/>
    </border>
    <border>
      <left style="thin">
        <color rgb="FF000000"/>
      </left>
      <right style="medium">
        <color rgb="FF000000"/>
      </right>
      <top style="thin">
        <color rgb="FF000000"/>
      </top>
      <bottom style="medium">
        <color rgb="FF000000"/>
      </bottom>
      <diagonal/>
    </border>
    <border>
      <left style="thin">
        <color theme="0" tint="-0.499984740745262"/>
      </left>
      <right/>
      <top style="medium">
        <color rgb="FF000000"/>
      </top>
      <bottom style="medium">
        <color rgb="FF000000"/>
      </bottom>
      <diagonal/>
    </border>
    <border>
      <left style="thin">
        <color theme="0" tint="-0.499984740745262"/>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top/>
      <bottom style="thin">
        <color theme="0" tint="-0.499984740745262"/>
      </bottom>
      <diagonal/>
    </border>
    <border>
      <left style="thin">
        <color indexed="64"/>
      </left>
      <right style="thin">
        <color indexed="64"/>
      </right>
      <top/>
      <bottom style="thin">
        <color theme="0" tint="-0.499984740745262"/>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theme="0" tint="-0.499984740745262"/>
      </top>
      <bottom style="thin">
        <color theme="0" tint="-0.499984740745262"/>
      </bottom>
      <diagonal/>
    </border>
    <border>
      <left style="thin">
        <color rgb="FF000000"/>
      </left>
      <right/>
      <top style="thin">
        <color rgb="FF000000"/>
      </top>
      <bottom style="thin">
        <color rgb="FF000000"/>
      </bottom>
      <diagonal/>
    </border>
    <border>
      <left style="thin">
        <color auto="1"/>
      </left>
      <right style="thin">
        <color auto="1"/>
      </right>
      <top style="thin">
        <color auto="1"/>
      </top>
      <bottom/>
      <diagonal/>
    </border>
  </borders>
  <cellStyleXfs count="51697">
    <xf numFmtId="0" fontId="0" fillId="0" borderId="0"/>
    <xf numFmtId="164" fontId="7" fillId="0" borderId="0" applyFont="0" applyFill="0" applyBorder="0" applyAlignment="0" applyProtection="0"/>
    <xf numFmtId="164" fontId="9" fillId="0" borderId="0" applyFont="0" applyFill="0" applyBorder="0" applyAlignment="0" applyProtection="0"/>
    <xf numFmtId="0" fontId="9" fillId="0" borderId="0"/>
    <xf numFmtId="0" fontId="12" fillId="0" borderId="0"/>
    <xf numFmtId="0" fontId="9" fillId="0" borderId="0"/>
    <xf numFmtId="166" fontId="9" fillId="0" borderId="0" applyFont="0" applyFill="0" applyBorder="0" applyAlignment="0" applyProtection="0"/>
    <xf numFmtId="0" fontId="12" fillId="0" borderId="0"/>
    <xf numFmtId="0" fontId="12" fillId="0" borderId="0"/>
    <xf numFmtId="0" fontId="12" fillId="0" borderId="0"/>
    <xf numFmtId="0" fontId="12" fillId="0" borderId="0"/>
    <xf numFmtId="0" fontId="13"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4" fillId="12"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4"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9" fontId="10" fillId="0" borderId="0" applyFont="0" applyFill="0" applyBorder="0" applyAlignment="0" applyProtection="0"/>
    <xf numFmtId="4" fontId="16" fillId="18" borderId="3" applyNumberFormat="0" applyProtection="0">
      <alignment vertical="center"/>
    </xf>
    <xf numFmtId="4" fontId="17" fillId="18" borderId="3" applyNumberFormat="0" applyProtection="0">
      <alignment vertical="center"/>
    </xf>
    <xf numFmtId="4" fontId="16" fillId="18" borderId="3" applyNumberFormat="0" applyProtection="0">
      <alignment horizontal="left" vertical="center" indent="1"/>
    </xf>
    <xf numFmtId="0" fontId="16" fillId="18" borderId="3" applyNumberFormat="0" applyProtection="0">
      <alignment horizontal="left" vertical="top" indent="1"/>
    </xf>
    <xf numFmtId="4" fontId="16" fillId="19" borderId="0" applyNumberFormat="0" applyProtection="0">
      <alignment horizontal="left" vertical="center" indent="1"/>
    </xf>
    <xf numFmtId="4" fontId="18" fillId="20" borderId="3" applyNumberFormat="0" applyProtection="0">
      <alignment horizontal="right" vertical="center"/>
    </xf>
    <xf numFmtId="4" fontId="18" fillId="21" borderId="3" applyNumberFormat="0" applyProtection="0">
      <alignment horizontal="right" vertical="center"/>
    </xf>
    <xf numFmtId="4" fontId="18" fillId="22" borderId="3" applyNumberFormat="0" applyProtection="0">
      <alignment horizontal="right" vertical="center"/>
    </xf>
    <xf numFmtId="4" fontId="18" fillId="23" borderId="3" applyNumberFormat="0" applyProtection="0">
      <alignment horizontal="right" vertical="center"/>
    </xf>
    <xf numFmtId="4" fontId="18" fillId="24" borderId="3" applyNumberFormat="0" applyProtection="0">
      <alignment horizontal="right" vertical="center"/>
    </xf>
    <xf numFmtId="4" fontId="18" fillId="25" borderId="3" applyNumberFormat="0" applyProtection="0">
      <alignment horizontal="right" vertical="center"/>
    </xf>
    <xf numFmtId="4" fontId="18" fillId="26" borderId="3" applyNumberFormat="0" applyProtection="0">
      <alignment horizontal="right" vertical="center"/>
    </xf>
    <xf numFmtId="4" fontId="18" fillId="27" borderId="3" applyNumberFormat="0" applyProtection="0">
      <alignment horizontal="right" vertical="center"/>
    </xf>
    <xf numFmtId="4" fontId="18" fillId="28" borderId="3" applyNumberFormat="0" applyProtection="0">
      <alignment horizontal="right" vertical="center"/>
    </xf>
    <xf numFmtId="4" fontId="16" fillId="29" borderId="4" applyNumberFormat="0" applyProtection="0">
      <alignment horizontal="left" vertical="center" indent="1"/>
    </xf>
    <xf numFmtId="4" fontId="18" fillId="30" borderId="0" applyNumberFormat="0" applyProtection="0">
      <alignment horizontal="left" vertical="center" indent="1"/>
    </xf>
    <xf numFmtId="4" fontId="19" fillId="31" borderId="0" applyNumberFormat="0" applyProtection="0">
      <alignment horizontal="left" vertical="center" indent="1"/>
    </xf>
    <xf numFmtId="4" fontId="18" fillId="19" borderId="3" applyNumberFormat="0" applyProtection="0">
      <alignment horizontal="right" vertical="center"/>
    </xf>
    <xf numFmtId="4" fontId="18" fillId="30" borderId="0" applyNumberFormat="0" applyProtection="0">
      <alignment horizontal="left" vertical="center" indent="1"/>
    </xf>
    <xf numFmtId="4" fontId="18" fillId="19" borderId="0"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top" indent="1"/>
    </xf>
    <xf numFmtId="0" fontId="9" fillId="33" borderId="1" applyNumberFormat="0">
      <protection locked="0"/>
    </xf>
    <xf numFmtId="4" fontId="18" fillId="34" borderId="3" applyNumberFormat="0" applyProtection="0">
      <alignment vertical="center"/>
    </xf>
    <xf numFmtId="4" fontId="20" fillId="34" borderId="3" applyNumberFormat="0" applyProtection="0">
      <alignment vertical="center"/>
    </xf>
    <xf numFmtId="4" fontId="18" fillId="34" borderId="3" applyNumberFormat="0" applyProtection="0">
      <alignment horizontal="left" vertical="center" indent="1"/>
    </xf>
    <xf numFmtId="0" fontId="18" fillId="34" borderId="3" applyNumberFormat="0" applyProtection="0">
      <alignment horizontal="left" vertical="top" indent="1"/>
    </xf>
    <xf numFmtId="4" fontId="18" fillId="30" borderId="3" applyNumberFormat="0" applyProtection="0">
      <alignment horizontal="right" vertical="center"/>
    </xf>
    <xf numFmtId="4" fontId="20" fillId="30" borderId="3" applyNumberFormat="0" applyProtection="0">
      <alignment horizontal="right" vertical="center"/>
    </xf>
    <xf numFmtId="4" fontId="18" fillId="19" borderId="3" applyNumberFormat="0" applyProtection="0">
      <alignment horizontal="left" vertical="center" indent="1"/>
    </xf>
    <xf numFmtId="0" fontId="18" fillId="19" borderId="3" applyNumberFormat="0" applyProtection="0">
      <alignment horizontal="left" vertical="top" indent="1"/>
    </xf>
    <xf numFmtId="4" fontId="21" fillId="35" borderId="0" applyNumberFormat="0" applyProtection="0">
      <alignment horizontal="left" vertical="center" indent="1"/>
    </xf>
    <xf numFmtId="4" fontId="22" fillId="30" borderId="3" applyNumberFormat="0" applyProtection="0">
      <alignment horizontal="right" vertical="center"/>
    </xf>
    <xf numFmtId="0" fontId="23" fillId="0" borderId="0" applyNumberFormat="0" applyFill="0" applyBorder="0" applyAlignment="0" applyProtection="0"/>
    <xf numFmtId="0" fontId="9" fillId="0" borderId="0"/>
    <xf numFmtId="9" fontId="24" fillId="0" borderId="0" applyFont="0" applyFill="0" applyBorder="0" applyAlignment="0" applyProtection="0"/>
    <xf numFmtId="0" fontId="7" fillId="0" borderId="0"/>
    <xf numFmtId="0" fontId="9" fillId="33" borderId="6" applyNumberFormat="0">
      <protection locked="0"/>
    </xf>
    <xf numFmtId="9" fontId="7" fillId="0" borderId="0" applyFont="0" applyFill="0" applyBorder="0" applyAlignment="0" applyProtection="0"/>
    <xf numFmtId="0" fontId="9" fillId="0" borderId="0"/>
    <xf numFmtId="0" fontId="7" fillId="0" borderId="0"/>
    <xf numFmtId="0" fontId="9" fillId="0" borderId="0"/>
    <xf numFmtId="167" fontId="7" fillId="3" borderId="6">
      <alignment vertical="center"/>
      <protection locked="0"/>
    </xf>
    <xf numFmtId="167" fontId="7" fillId="43" borderId="6">
      <alignment vertical="center"/>
    </xf>
    <xf numFmtId="9" fontId="12" fillId="0" borderId="0" applyFont="0" applyFill="0" applyBorder="0" applyAlignment="0" applyProtection="0"/>
    <xf numFmtId="0" fontId="25" fillId="0" borderId="0">
      <alignment vertical="top"/>
    </xf>
    <xf numFmtId="0" fontId="12" fillId="0" borderId="0"/>
    <xf numFmtId="0" fontId="7" fillId="0" borderId="0"/>
    <xf numFmtId="0" fontId="28" fillId="0" borderId="0"/>
    <xf numFmtId="0" fontId="9" fillId="0" borderId="0"/>
    <xf numFmtId="0" fontId="9" fillId="0" borderId="0"/>
    <xf numFmtId="0" fontId="25" fillId="0" borderId="0"/>
    <xf numFmtId="167" fontId="7" fillId="3" borderId="6">
      <alignment vertical="center"/>
      <protection locked="0"/>
    </xf>
    <xf numFmtId="0" fontId="34" fillId="0" borderId="0" applyNumberFormat="0" applyFill="0" applyBorder="0" applyAlignment="0" applyProtection="0"/>
    <xf numFmtId="0" fontId="25" fillId="0" borderId="0"/>
    <xf numFmtId="168" fontId="37" fillId="48" borderId="0" applyBorder="0">
      <alignment vertical="center"/>
    </xf>
    <xf numFmtId="164" fontId="7" fillId="0" borderId="0" applyFont="0" applyFill="0" applyBorder="0" applyAlignment="0" applyProtection="0"/>
    <xf numFmtId="168" fontId="38" fillId="49" borderId="0"/>
    <xf numFmtId="0" fontId="12" fillId="0" borderId="0"/>
    <xf numFmtId="0" fontId="28" fillId="0" borderId="0"/>
    <xf numFmtId="0" fontId="7" fillId="0" borderId="0"/>
    <xf numFmtId="0" fontId="7"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9" fillId="0" borderId="0">
      <alignment vertical="top"/>
    </xf>
    <xf numFmtId="180" fontId="9" fillId="0" borderId="0">
      <alignment vertical="top"/>
    </xf>
    <xf numFmtId="181" fontId="43" fillId="0" borderId="0"/>
    <xf numFmtId="182" fontId="9" fillId="0" borderId="0"/>
    <xf numFmtId="182" fontId="9" fillId="0" borderId="0"/>
    <xf numFmtId="182" fontId="9" fillId="0" borderId="0"/>
    <xf numFmtId="182" fontId="9" fillId="0" borderId="0"/>
    <xf numFmtId="182" fontId="9" fillId="0" borderId="0"/>
    <xf numFmtId="180" fontId="44" fillId="0" borderId="0"/>
    <xf numFmtId="181" fontId="43" fillId="0" borderId="0"/>
    <xf numFmtId="182" fontId="9" fillId="0" borderId="0"/>
    <xf numFmtId="182" fontId="9" fillId="0" borderId="0"/>
    <xf numFmtId="182" fontId="9" fillId="0" borderId="0"/>
    <xf numFmtId="182" fontId="9" fillId="0" borderId="0"/>
    <xf numFmtId="182" fontId="9" fillId="0" borderId="0"/>
    <xf numFmtId="183" fontId="45" fillId="0" borderId="0" applyFont="0" applyFill="0" applyBorder="0" applyAlignment="0" applyProtection="0">
      <protection locked="0"/>
    </xf>
    <xf numFmtId="184" fontId="44" fillId="0" borderId="0">
      <alignment horizontal="right"/>
    </xf>
    <xf numFmtId="185" fontId="44" fillId="46" borderId="0"/>
    <xf numFmtId="186" fontId="44" fillId="46" borderId="0"/>
    <xf numFmtId="187" fontId="44" fillId="46" borderId="0"/>
    <xf numFmtId="188" fontId="44" fillId="46" borderId="0">
      <alignment horizontal="right"/>
    </xf>
    <xf numFmtId="0" fontId="12" fillId="0" borderId="0"/>
    <xf numFmtId="174" fontId="12" fillId="0" borderId="0"/>
    <xf numFmtId="174"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180" fontId="9" fillId="0" borderId="0"/>
    <xf numFmtId="0" fontId="9" fillId="0" borderId="0"/>
    <xf numFmtId="180" fontId="12"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12" fillId="0" borderId="0"/>
    <xf numFmtId="0" fontId="9" fillId="0" borderId="0"/>
    <xf numFmtId="0" fontId="9" fillId="0" borderId="0"/>
    <xf numFmtId="0" fontId="12" fillId="0" borderId="0"/>
    <xf numFmtId="0" fontId="12" fillId="0" borderId="0"/>
    <xf numFmtId="0" fontId="9" fillId="0" borderId="0"/>
    <xf numFmtId="0" fontId="12" fillId="0" borderId="0"/>
    <xf numFmtId="0" fontId="12" fillId="0" borderId="0"/>
    <xf numFmtId="180" fontId="12" fillId="0" borderId="0"/>
    <xf numFmtId="0" fontId="9" fillId="0" borderId="0"/>
    <xf numFmtId="0" fontId="9" fillId="0" borderId="0"/>
    <xf numFmtId="0" fontId="9" fillId="0" borderId="0"/>
    <xf numFmtId="19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18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9" fillId="0" borderId="0"/>
    <xf numFmtId="180" fontId="9" fillId="0" borderId="0" applyBorder="0"/>
    <xf numFmtId="180" fontId="46" fillId="0" borderId="0" applyNumberFormat="0" applyFont="0" applyFill="0" applyBorder="0" applyAlignment="0" applyProtection="0"/>
    <xf numFmtId="191" fontId="9" fillId="0" borderId="0" applyFont="0" applyFill="0" applyBorder="0" applyAlignment="0" applyProtection="0"/>
    <xf numFmtId="180" fontId="41" fillId="0" borderId="0" applyNumberFormat="0" applyFill="0" applyBorder="0" applyAlignment="0" applyProtection="0">
      <alignment vertical="top"/>
      <protection locked="0"/>
    </xf>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7" fillId="0" borderId="0">
      <alignment horizontal="right" vertical="center"/>
    </xf>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180"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38" fontId="49" fillId="0" borderId="0" applyFont="0" applyFill="0" applyBorder="0" applyAlignment="0" applyProtection="0"/>
    <xf numFmtId="38" fontId="49" fillId="0" borderId="0" applyFont="0" applyFill="0" applyBorder="0" applyAlignment="0" applyProtection="0"/>
    <xf numFmtId="180" fontId="48" fillId="0" borderId="0"/>
    <xf numFmtId="180" fontId="9" fillId="0" borderId="0" applyFont="0" applyFill="0" applyBorder="0" applyAlignment="0" applyProtection="0"/>
    <xf numFmtId="180" fontId="48" fillId="0" borderId="0"/>
    <xf numFmtId="180" fontId="48"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9" fillId="0" borderId="0" applyFont="0" applyFill="0" applyBorder="0" applyAlignment="0" applyProtection="0"/>
    <xf numFmtId="0" fontId="48" fillId="0" borderId="0"/>
    <xf numFmtId="180" fontId="9" fillId="0" borderId="0"/>
    <xf numFmtId="180" fontId="9" fillId="0" borderId="0"/>
    <xf numFmtId="18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8" fontId="49" fillId="0" borderId="0" applyFont="0" applyFill="0" applyBorder="0" applyAlignment="0" applyProtection="0"/>
    <xf numFmtId="193" fontId="9" fillId="0" borderId="0" applyFont="0" applyFill="0" applyBorder="0" applyAlignment="0" applyProtection="0"/>
    <xf numFmtId="180" fontId="43" fillId="0" borderId="0" applyFont="0" applyFill="0" applyBorder="0" applyAlignment="0" applyProtection="0"/>
    <xf numFmtId="193" fontId="9" fillId="0" borderId="0" applyFont="0" applyFill="0" applyBorder="0" applyAlignment="0" applyProtection="0"/>
    <xf numFmtId="180" fontId="9" fillId="0" borderId="0"/>
    <xf numFmtId="180" fontId="9" fillId="0" borderId="0"/>
    <xf numFmtId="0" fontId="9" fillId="0" borderId="0"/>
    <xf numFmtId="180" fontId="48" fillId="0" borderId="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94" fontId="9" fillId="0" borderId="0" applyFont="0" applyFill="0" applyBorder="0" applyAlignment="0" applyProtection="0"/>
    <xf numFmtId="180" fontId="43" fillId="0" borderId="0" applyFont="0" applyFill="0" applyBorder="0" applyAlignment="0" applyProtection="0"/>
    <xf numFmtId="195" fontId="9" fillId="0" borderId="0" applyFont="0" applyFill="0" applyBorder="0" applyAlignment="0" applyProtection="0"/>
    <xf numFmtId="194" fontId="9" fillId="0" borderId="0" applyFont="0" applyFill="0" applyBorder="0" applyAlignment="0" applyProtection="0"/>
    <xf numFmtId="195" fontId="9" fillId="0" borderId="0" applyFont="0" applyFill="0" applyBorder="0" applyAlignment="0" applyProtection="0"/>
    <xf numFmtId="39" fontId="9" fillId="0" borderId="0" applyFont="0" applyFill="0" applyBorder="0" applyAlignment="0" applyProtection="0"/>
    <xf numFmtId="180" fontId="43" fillId="0" borderId="0" applyFont="0" applyFill="0" applyBorder="0" applyAlignment="0" applyProtection="0"/>
    <xf numFmtId="39" fontId="9" fillId="0" borderId="0" applyFont="0" applyFill="0" applyBorder="0" applyAlignment="0" applyProtection="0"/>
    <xf numFmtId="180"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48" fillId="0" borderId="0"/>
    <xf numFmtId="180" fontId="41" fillId="0" borderId="0"/>
    <xf numFmtId="180" fontId="41" fillId="0" borderId="0"/>
    <xf numFmtId="38" fontId="49" fillId="0" borderId="0" applyAlignment="0" applyProtection="0"/>
    <xf numFmtId="38" fontId="49" fillId="0" borderId="0" applyFont="0" applyBorder="0" applyAlignment="0" applyProtection="0"/>
    <xf numFmtId="196" fontId="9" fillId="0" borderId="0" applyFont="0" applyFill="0" applyBorder="0" applyProtection="0">
      <alignment vertical="top"/>
    </xf>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48" fillId="0" borderId="0"/>
    <xf numFmtId="18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0" fontId="48" fillId="0" borderId="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38" fontId="40" fillId="0" borderId="0" applyAlignment="0" applyProtection="0"/>
    <xf numFmtId="0" fontId="9" fillId="0" borderId="0" applyFont="0" applyFill="0" applyBorder="0" applyAlignment="0" applyProtection="0"/>
    <xf numFmtId="196" fontId="9" fillId="0" borderId="0" applyFont="0" applyFill="0" applyBorder="0" applyProtection="0">
      <alignment vertical="top"/>
    </xf>
    <xf numFmtId="38" fontId="40" fillId="0" borderId="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48" fillId="0" borderId="0"/>
    <xf numFmtId="197" fontId="9" fillId="0" borderId="0" applyFont="0" applyFill="0" applyBorder="0" applyAlignment="0" applyProtection="0"/>
    <xf numFmtId="180" fontId="43" fillId="0" borderId="0" applyFont="0" applyFill="0" applyBorder="0" applyAlignment="0" applyProtection="0"/>
    <xf numFmtId="198" fontId="9" fillId="0" borderId="0" applyFont="0" applyFill="0" applyBorder="0" applyAlignment="0" applyProtection="0"/>
    <xf numFmtId="197" fontId="9" fillId="0" borderId="0" applyFont="0" applyFill="0" applyBorder="0" applyAlignment="0" applyProtection="0"/>
    <xf numFmtId="198" fontId="9" fillId="0" borderId="0" applyFont="0" applyFill="0" applyBorder="0" applyAlignment="0" applyProtection="0"/>
    <xf numFmtId="199" fontId="9" fillId="0" borderId="0" applyFont="0" applyFill="0" applyBorder="0" applyAlignment="0" applyProtection="0"/>
    <xf numFmtId="180" fontId="43" fillId="0" borderId="0" applyFont="0" applyFill="0" applyBorder="0" applyAlignment="0" applyProtection="0"/>
    <xf numFmtId="200" fontId="9" fillId="0" borderId="0" applyFont="0" applyFill="0" applyBorder="0" applyAlignment="0" applyProtection="0"/>
    <xf numFmtId="199"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180" fontId="48" fillId="0" borderId="0"/>
    <xf numFmtId="180" fontId="48" fillId="0" borderId="0"/>
    <xf numFmtId="180" fontId="9" fillId="0" borderId="0"/>
    <xf numFmtId="0" fontId="9" fillId="0" borderId="0" applyFont="0" applyFill="0" applyBorder="0" applyAlignment="0" applyProtection="0"/>
    <xf numFmtId="180" fontId="48" fillId="0" borderId="0"/>
    <xf numFmtId="38" fontId="40" fillId="0" borderId="0" applyAlignment="0" applyProtection="0"/>
    <xf numFmtId="180" fontId="9" fillId="0" borderId="0"/>
    <xf numFmtId="180" fontId="9" fillId="0" borderId="0"/>
    <xf numFmtId="38" fontId="49" fillId="0" borderId="0" applyFont="0" applyFill="0" applyBorder="0" applyAlignment="0" applyProtection="0"/>
    <xf numFmtId="38" fontId="49" fillId="0" borderId="0" applyFont="0" applyFill="0" applyBorder="0" applyAlignment="0" applyProtection="0"/>
    <xf numFmtId="201" fontId="9" fillId="0" borderId="0" applyFont="0" applyFill="0" applyBorder="0" applyAlignment="0" applyProtection="0"/>
    <xf numFmtId="180" fontId="43" fillId="0" borderId="0" applyFont="0" applyFill="0" applyBorder="0" applyAlignment="0" applyProtection="0"/>
    <xf numFmtId="176" fontId="9" fillId="0" borderId="0" applyFont="0" applyFill="0" applyBorder="0" applyAlignment="0" applyProtection="0"/>
    <xf numFmtId="201" fontId="9" fillId="0" borderId="0" applyFont="0" applyFill="0" applyBorder="0" applyAlignment="0" applyProtection="0"/>
    <xf numFmtId="176" fontId="9" fillId="0" borderId="0" applyFont="0" applyFill="0" applyBorder="0" applyAlignment="0" applyProtection="0"/>
    <xf numFmtId="202" fontId="9" fillId="0" borderId="0" applyFont="0" applyFill="0" applyBorder="0" applyAlignment="0" applyProtection="0"/>
    <xf numFmtId="180" fontId="43" fillId="0" borderId="0" applyFont="0" applyFill="0" applyBorder="0" applyAlignment="0" applyProtection="0"/>
    <xf numFmtId="203" fontId="9" fillId="0" borderId="0" applyFont="0" applyFill="0" applyBorder="0" applyAlignment="0" applyProtection="0"/>
    <xf numFmtId="202" fontId="9" fillId="0" borderId="0" applyFont="0" applyFill="0" applyBorder="0" applyAlignment="0" applyProtection="0"/>
    <xf numFmtId="203" fontId="9" fillId="0" borderId="0" applyFont="0" applyFill="0" applyBorder="0" applyAlignment="0" applyProtection="0"/>
    <xf numFmtId="180" fontId="50" fillId="0" borderId="0"/>
    <xf numFmtId="180" fontId="50" fillId="0" borderId="0"/>
    <xf numFmtId="180" fontId="50" fillId="0" borderId="0"/>
    <xf numFmtId="18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48" fillId="0" borderId="0"/>
    <xf numFmtId="0"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80" fontId="51" fillId="0" borderId="0" applyNumberFormat="0" applyFill="0" applyBorder="0" applyProtection="0">
      <alignment horizontal="left"/>
    </xf>
    <xf numFmtId="180" fontId="52" fillId="0" borderId="0" applyNumberFormat="0" applyFill="0" applyBorder="0" applyProtection="0">
      <alignment horizontal="centerContinuous"/>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50" fillId="0" borderId="0"/>
    <xf numFmtId="180" fontId="50" fillId="0" borderId="0"/>
    <xf numFmtId="204" fontId="53" fillId="0" borderId="0"/>
    <xf numFmtId="180" fontId="41" fillId="0" borderId="0"/>
    <xf numFmtId="180" fontId="41" fillId="0" borderId="0"/>
    <xf numFmtId="180" fontId="50" fillId="0" borderId="0"/>
    <xf numFmtId="180" fontId="50" fillId="0" borderId="0"/>
    <xf numFmtId="180" fontId="50" fillId="0" borderId="0"/>
    <xf numFmtId="0" fontId="9" fillId="0" borderId="0" applyFont="0" applyFill="0" applyBorder="0" applyAlignment="0" applyProtection="0"/>
    <xf numFmtId="180" fontId="9" fillId="0" borderId="0"/>
    <xf numFmtId="180" fontId="48" fillId="0" borderId="0"/>
    <xf numFmtId="204" fontId="5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205" fontId="54" fillId="0" borderId="0" applyFont="0" applyFill="0" applyBorder="0" applyAlignment="0" applyProtection="0"/>
    <xf numFmtId="206" fontId="41" fillId="0" borderId="0" applyFont="0" applyFill="0" applyBorder="0" applyAlignment="0" applyProtection="0"/>
    <xf numFmtId="207" fontId="55" fillId="0" borderId="0"/>
    <xf numFmtId="208" fontId="41" fillId="0" borderId="0" applyFont="0" applyFill="0" applyBorder="0" applyAlignment="0" applyProtection="0"/>
    <xf numFmtId="209" fontId="54" fillId="0" borderId="0" applyFont="0" applyFill="0" applyBorder="0" applyAlignment="0" applyProtection="0"/>
    <xf numFmtId="0" fontId="12" fillId="0" borderId="0"/>
    <xf numFmtId="0" fontId="9" fillId="0" borderId="0"/>
    <xf numFmtId="0"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12" fillId="0" borderId="0"/>
    <xf numFmtId="0" fontId="12" fillId="0" borderId="0"/>
    <xf numFmtId="0" fontId="12" fillId="0" borderId="0"/>
    <xf numFmtId="0" fontId="9" fillId="0" borderId="0"/>
    <xf numFmtId="0" fontId="12" fillId="0" borderId="0"/>
    <xf numFmtId="0" fontId="9" fillId="0" borderId="0"/>
    <xf numFmtId="0" fontId="9" fillId="0" borderId="0"/>
    <xf numFmtId="0" fontId="9" fillId="0" borderId="0"/>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180" fontId="9" fillId="0" borderId="0"/>
    <xf numFmtId="210" fontId="9" fillId="0" borderId="0" applyBorder="0"/>
    <xf numFmtId="0" fontId="9" fillId="0" borderId="0"/>
    <xf numFmtId="0" fontId="9" fillId="0" borderId="0"/>
    <xf numFmtId="180" fontId="9" fillId="0" borderId="0" applyBorder="0"/>
    <xf numFmtId="210" fontId="9" fillId="0" borderId="0" applyBorder="0"/>
    <xf numFmtId="204" fontId="53" fillId="0" borderId="0"/>
    <xf numFmtId="211" fontId="55" fillId="0" borderId="0"/>
    <xf numFmtId="211" fontId="56" fillId="0" borderId="0"/>
    <xf numFmtId="212" fontId="55" fillId="0" borderId="0"/>
    <xf numFmtId="213" fontId="45" fillId="0" borderId="0" applyFont="0" applyFill="0" applyBorder="0" applyAlignment="0" applyProtection="0">
      <protection locked="0"/>
    </xf>
    <xf numFmtId="214" fontId="57" fillId="0" borderId="0"/>
    <xf numFmtId="180" fontId="56" fillId="0" borderId="0"/>
    <xf numFmtId="214" fontId="58" fillId="0" borderId="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189" fontId="59" fillId="56"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89" fontId="59" fillId="20"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189" fontId="59" fillId="57"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89" fontId="59" fillId="58"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189" fontId="59" fillId="59"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189" fontId="59" fillId="60" borderId="0" applyNumberFormat="0" applyBorder="0" applyAlignment="0" applyProtection="0"/>
    <xf numFmtId="215" fontId="55" fillId="0" borderId="0"/>
    <xf numFmtId="216" fontId="56" fillId="0" borderId="0"/>
    <xf numFmtId="215" fontId="60" fillId="0" borderId="0"/>
    <xf numFmtId="0" fontId="9" fillId="0" borderId="0"/>
    <xf numFmtId="0" fontId="9" fillId="0" borderId="0"/>
    <xf numFmtId="217" fontId="55" fillId="0" borderId="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9" fontId="59" fillId="32"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189" fontId="59" fillId="21"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89" fontId="59" fillId="2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89" fontId="59" fillId="58"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9" fontId="59" fillId="32"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89" fontId="59" fillId="23"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189" fontId="62" fillId="62"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189" fontId="62" fillId="21"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189" fontId="62" fillId="28"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89" fontId="62" fillId="63"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89" fontId="62" fillId="6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189" fontId="62" fillId="24" borderId="0" applyNumberFormat="0" applyBorder="0" applyAlignment="0" applyProtection="0"/>
    <xf numFmtId="0" fontId="43" fillId="0" borderId="0"/>
    <xf numFmtId="0" fontId="13" fillId="65" borderId="0" applyNumberFormat="0" applyBorder="0" applyAlignment="0" applyProtection="0"/>
    <xf numFmtId="0" fontId="13" fillId="12"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189" fontId="62" fillId="67" borderId="0" applyNumberFormat="0" applyBorder="0" applyAlignment="0" applyProtection="0"/>
    <xf numFmtId="0" fontId="13" fillId="68" borderId="0" applyNumberFormat="0" applyBorder="0" applyAlignment="0" applyProtection="0"/>
    <xf numFmtId="0" fontId="13" fillId="11"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189" fontId="62" fillId="22" borderId="0" applyNumberFormat="0" applyBorder="0" applyAlignment="0" applyProtection="0"/>
    <xf numFmtId="0" fontId="13" fillId="70" borderId="0" applyNumberFormat="0" applyBorder="0" applyAlignment="0" applyProtection="0"/>
    <xf numFmtId="0" fontId="13" fillId="71"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189" fontId="62" fillId="26" borderId="0" applyNumberFormat="0" applyBorder="0" applyAlignment="0" applyProtection="0"/>
    <xf numFmtId="0" fontId="13" fillId="68" borderId="0" applyNumberFormat="0" applyBorder="0" applyAlignment="0" applyProtection="0"/>
    <xf numFmtId="0" fontId="13" fillId="9"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89" fontId="62" fillId="63"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89" fontId="62" fillId="6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189" fontId="62" fillId="25" borderId="0" applyNumberFormat="0" applyBorder="0" applyAlignment="0" applyProtection="0"/>
    <xf numFmtId="218" fontId="63" fillId="0" borderId="9">
      <alignment horizontal="centerContinuous"/>
    </xf>
    <xf numFmtId="219" fontId="64" fillId="40" borderId="12">
      <alignment horizontal="center" vertical="center"/>
    </xf>
    <xf numFmtId="210" fontId="45" fillId="0" borderId="0" applyFont="0" applyFill="0" applyBorder="0" applyAlignment="0" applyProtection="0"/>
    <xf numFmtId="180" fontId="45" fillId="0" borderId="0" applyFont="0" applyFill="0" applyBorder="0" applyAlignment="0" applyProtection="0"/>
    <xf numFmtId="204" fontId="65" fillId="0" borderId="0" applyNumberFormat="0" applyFont="0" applyFill="0" applyBorder="0" applyProtection="0">
      <alignment horizontal="center"/>
    </xf>
    <xf numFmtId="220" fontId="66" fillId="0" borderId="0">
      <alignment horizontal="left"/>
    </xf>
    <xf numFmtId="0" fontId="57" fillId="0" borderId="0"/>
    <xf numFmtId="221" fontId="67" fillId="0" borderId="0" applyFont="0" applyFill="0" applyBorder="0" applyAlignment="0" applyProtection="0"/>
    <xf numFmtId="180" fontId="45" fillId="0" borderId="0" applyFont="0" applyFill="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70" fillId="55"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189" fontId="72" fillId="20" borderId="0" applyNumberFormat="0" applyBorder="0" applyAlignment="0" applyProtection="0"/>
    <xf numFmtId="222" fontId="73" fillId="75" borderId="7" applyNumberFormat="0" applyBorder="0" applyAlignment="0">
      <alignment horizontal="centerContinuous" vertical="center"/>
      <protection hidden="1"/>
    </xf>
    <xf numFmtId="1" fontId="74" fillId="76" borderId="10" applyNumberFormat="0" applyBorder="0" applyAlignment="0">
      <alignment horizontal="center" vertical="top" wrapText="1"/>
      <protection hidden="1"/>
    </xf>
    <xf numFmtId="223" fontId="9" fillId="0" borderId="0" applyFont="0" applyFill="0" applyBorder="0" applyAlignment="0" applyProtection="0"/>
    <xf numFmtId="193" fontId="9" fillId="0" borderId="0" applyNumberFormat="0" applyFont="0" applyAlignment="0" applyProtection="0"/>
    <xf numFmtId="180" fontId="75" fillId="77" borderId="0">
      <alignment horizontal="left"/>
    </xf>
    <xf numFmtId="224" fontId="76" fillId="0" borderId="0" applyFill="0" applyBorder="0" applyAlignment="0" applyProtection="0"/>
    <xf numFmtId="2" fontId="77" fillId="50" borderId="11" applyProtection="0">
      <alignment horizontal="left"/>
      <protection locked="0"/>
    </xf>
    <xf numFmtId="180" fontId="64" fillId="40" borderId="0" applyNumberFormat="0" applyFont="0" applyAlignment="0">
      <alignment horizontal="center"/>
    </xf>
    <xf numFmtId="225" fontId="78" fillId="40" borderId="0" applyFont="0" applyFill="0" applyBorder="0" applyAlignment="0" applyProtection="0"/>
    <xf numFmtId="180" fontId="79" fillId="0" borderId="0" applyNumberFormat="0" applyFill="0" applyBorder="0" applyAlignment="0" applyProtection="0"/>
    <xf numFmtId="180" fontId="80" fillId="0" borderId="9" applyNumberFormat="0" applyFill="0" applyAlignment="0" applyProtection="0"/>
    <xf numFmtId="180" fontId="55" fillId="0" borderId="0"/>
    <xf numFmtId="226" fontId="81" fillId="45" borderId="0" applyFont="0" applyFill="0" applyBorder="0" applyAlignment="0" applyProtection="0"/>
    <xf numFmtId="227" fontId="43" fillId="0" borderId="0" applyAlignment="0" applyProtection="0"/>
    <xf numFmtId="49" fontId="53" fillId="0" borderId="0" applyNumberFormat="0" applyAlignment="0" applyProtection="0">
      <alignment horizontal="left"/>
    </xf>
    <xf numFmtId="49" fontId="82" fillId="0" borderId="13" applyNumberFormat="0" applyAlignment="0" applyProtection="0">
      <alignment horizontal="left" wrapText="1"/>
    </xf>
    <xf numFmtId="49" fontId="83" fillId="0" borderId="0" applyAlignment="0" applyProtection="0">
      <alignment horizontal="left"/>
    </xf>
    <xf numFmtId="228" fontId="41" fillId="0" borderId="0" applyFont="0" applyFill="0" applyBorder="0" applyAlignment="0" applyProtection="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4" fillId="0" borderId="0"/>
    <xf numFmtId="180" fontId="85" fillId="0" borderId="0"/>
    <xf numFmtId="229" fontId="43" fillId="0" borderId="0"/>
    <xf numFmtId="230" fontId="43" fillId="0" borderId="0"/>
    <xf numFmtId="231" fontId="43" fillId="0" borderId="0"/>
    <xf numFmtId="229" fontId="43" fillId="0" borderId="8"/>
    <xf numFmtId="230" fontId="43" fillId="0" borderId="8"/>
    <xf numFmtId="230" fontId="43" fillId="0" borderId="8"/>
    <xf numFmtId="231" fontId="43" fillId="0" borderId="8"/>
    <xf numFmtId="231" fontId="43" fillId="0" borderId="8"/>
    <xf numFmtId="229" fontId="43" fillId="0" borderId="8"/>
    <xf numFmtId="229" fontId="43" fillId="0" borderId="8"/>
    <xf numFmtId="229" fontId="43" fillId="0" borderId="0"/>
    <xf numFmtId="232" fontId="43" fillId="0" borderId="0"/>
    <xf numFmtId="180" fontId="45" fillId="0" borderId="0" applyFill="0" applyBorder="0" applyAlignment="0"/>
    <xf numFmtId="233" fontId="43" fillId="0" borderId="0"/>
    <xf numFmtId="234" fontId="43" fillId="0" borderId="0"/>
    <xf numFmtId="232" fontId="43" fillId="0" borderId="8"/>
    <xf numFmtId="233" fontId="43" fillId="0" borderId="8"/>
    <xf numFmtId="233" fontId="43" fillId="0" borderId="8"/>
    <xf numFmtId="234" fontId="43" fillId="0" borderId="8"/>
    <xf numFmtId="234" fontId="43" fillId="0" borderId="8"/>
    <xf numFmtId="232" fontId="43" fillId="0" borderId="8"/>
    <xf numFmtId="232" fontId="43" fillId="0" borderId="8"/>
    <xf numFmtId="232" fontId="43" fillId="0" borderId="0"/>
    <xf numFmtId="235" fontId="43" fillId="0" borderId="0">
      <alignment horizontal="right"/>
      <protection locked="0"/>
    </xf>
    <xf numFmtId="236" fontId="43" fillId="0" borderId="0">
      <alignment horizontal="right"/>
      <protection locked="0"/>
    </xf>
    <xf numFmtId="237" fontId="43" fillId="0" borderId="0"/>
    <xf numFmtId="238" fontId="43" fillId="0" borderId="0"/>
    <xf numFmtId="239" fontId="43" fillId="0" borderId="0"/>
    <xf numFmtId="237" fontId="43" fillId="0" borderId="8"/>
    <xf numFmtId="238" fontId="43" fillId="0" borderId="8"/>
    <xf numFmtId="238" fontId="43" fillId="0" borderId="8"/>
    <xf numFmtId="239" fontId="43" fillId="0" borderId="8"/>
    <xf numFmtId="239" fontId="43" fillId="0" borderId="8"/>
    <xf numFmtId="237" fontId="43" fillId="0" borderId="8"/>
    <xf numFmtId="237" fontId="43" fillId="0" borderId="8"/>
    <xf numFmtId="237" fontId="43" fillId="0" borderId="0"/>
    <xf numFmtId="240" fontId="9" fillId="46" borderId="0"/>
    <xf numFmtId="180" fontId="9" fillId="0" borderId="0">
      <alignment vertical="center"/>
    </xf>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189" fontId="88" fillId="61" borderId="14" applyNumberFormat="0" applyAlignment="0" applyProtection="0"/>
    <xf numFmtId="189" fontId="88" fillId="61" borderId="14" applyNumberFormat="0" applyAlignment="0" applyProtection="0"/>
    <xf numFmtId="38" fontId="89" fillId="0" borderId="0" applyNumberFormat="0" applyFill="0" applyBorder="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189" fontId="91" fillId="79" borderId="15" applyNumberFormat="0" applyAlignment="0" applyProtection="0"/>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7" fontId="64" fillId="0" borderId="9">
      <alignment horizontal="center"/>
    </xf>
    <xf numFmtId="37" fontId="64" fillId="0" borderId="0">
      <alignment horizontal="center" vertical="center" wrapText="1"/>
    </xf>
    <xf numFmtId="1" fontId="92" fillId="0" borderId="16">
      <alignment vertical="top"/>
    </xf>
    <xf numFmtId="173" fontId="93" fillId="0" borderId="0" applyBorder="0">
      <alignment horizontal="right"/>
    </xf>
    <xf numFmtId="173" fontId="93" fillId="0" borderId="17" applyAlignment="0">
      <alignment horizontal="right"/>
    </xf>
    <xf numFmtId="241" fontId="41" fillId="0" borderId="0"/>
    <xf numFmtId="241" fontId="41" fillId="0" borderId="0"/>
    <xf numFmtId="241" fontId="41" fillId="0" borderId="0"/>
    <xf numFmtId="241" fontId="41" fillId="0" borderId="0"/>
    <xf numFmtId="241" fontId="41" fillId="0" borderId="0"/>
    <xf numFmtId="241" fontId="41" fillId="0" borderId="0"/>
    <xf numFmtId="241" fontId="41" fillId="0" borderId="0"/>
    <xf numFmtId="241" fontId="41" fillId="0" borderId="0"/>
    <xf numFmtId="38" fontId="9" fillId="0" borderId="0" applyFont="0" applyFill="0" applyBorder="0" applyAlignment="0" applyProtection="0"/>
    <xf numFmtId="204" fontId="45" fillId="0" borderId="0" applyFont="0" applyFill="0" applyBorder="0" applyAlignment="0" applyProtection="0">
      <protection locked="0"/>
    </xf>
    <xf numFmtId="40" fontId="45" fillId="0" borderId="0" applyFont="0" applyFill="0" applyBorder="0" applyAlignment="0" applyProtection="0">
      <protection locked="0"/>
    </xf>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0" fontId="9" fillId="0" borderId="0" applyNumberFormat="0" applyFont="0" applyBorder="0" applyAlignment="0"/>
    <xf numFmtId="207" fontId="55" fillId="0" borderId="0"/>
    <xf numFmtId="242" fontId="57" fillId="0" borderId="0"/>
    <xf numFmtId="180" fontId="94" fillId="0" borderId="0" applyFont="0" applyFill="0" applyBorder="0" applyAlignment="0" applyProtection="0">
      <alignment horizontal="right"/>
    </xf>
    <xf numFmtId="243" fontId="94" fillId="0" borderId="0" applyFont="0" applyFill="0" applyBorder="0" applyAlignment="0" applyProtection="0"/>
    <xf numFmtId="180" fontId="94" fillId="0" borderId="0" applyFont="0" applyFill="0" applyBorder="0" applyAlignment="0" applyProtection="0">
      <alignment horizontal="right"/>
    </xf>
    <xf numFmtId="0"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242" fontId="12" fillId="0" borderId="0" applyFont="0" applyFill="0" applyBorder="0" applyAlignment="0" applyProtection="0"/>
    <xf numFmtId="174" fontId="12" fillId="0" borderId="0" applyFont="0" applyFill="0" applyBorder="0" applyAlignment="0" applyProtection="0"/>
    <xf numFmtId="193" fontId="12" fillId="0" borderId="0" applyFont="0" applyFill="0" applyBorder="0" applyAlignment="0" applyProtection="0"/>
    <xf numFmtId="174"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244" fontId="12" fillId="0" borderId="0" applyFont="0" applyFill="0" applyBorder="0" applyAlignment="0" applyProtection="0"/>
    <xf numFmtId="245" fontId="12" fillId="0" borderId="0" applyFont="0" applyFill="0" applyBorder="0" applyAlignment="0" applyProtection="0"/>
    <xf numFmtId="245" fontId="12" fillId="0" borderId="0" applyFont="0" applyFill="0" applyBorder="0" applyAlignment="0" applyProtection="0"/>
    <xf numFmtId="173" fontId="12" fillId="0" borderId="0" applyFont="0" applyFill="0" applyBorder="0" applyAlignment="0" applyProtection="0"/>
    <xf numFmtId="188"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8"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8"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246"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247" fontId="9" fillId="0" borderId="0" applyFont="0" applyFill="0" applyBorder="0" applyAlignment="0" applyProtection="0"/>
    <xf numFmtId="164" fontId="18"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8" fontId="9" fillId="0" borderId="0" applyFont="0" applyFill="0" applyBorder="0" applyAlignment="0" applyProtection="0"/>
    <xf numFmtId="38" fontId="41" fillId="0" borderId="0" applyFill="0" applyBorder="0" applyProtection="0">
      <alignment horizontal="center"/>
    </xf>
    <xf numFmtId="180" fontId="95" fillId="0" borderId="0">
      <protection locked="0"/>
    </xf>
    <xf numFmtId="249" fontId="9" fillId="0" borderId="0" applyBorder="0"/>
    <xf numFmtId="250" fontId="53" fillId="0" borderId="0" applyBorder="0"/>
    <xf numFmtId="251" fontId="9" fillId="0" borderId="0" applyFill="0" applyBorder="0">
      <alignment horizontal="left"/>
    </xf>
    <xf numFmtId="180" fontId="96" fillId="0" borderId="0" applyNumberFormat="0" applyAlignment="0">
      <alignment horizontal="left"/>
    </xf>
    <xf numFmtId="37" fontId="9" fillId="80" borderId="0" applyFont="0" applyBorder="0" applyAlignment="0" applyProtection="0"/>
    <xf numFmtId="193" fontId="50" fillId="80" borderId="0" applyFont="0" applyBorder="0" applyAlignment="0" applyProtection="0"/>
    <xf numFmtId="39" fontId="50" fillId="80" borderId="0" applyFont="0" applyBorder="0" applyAlignment="0" applyProtection="0"/>
    <xf numFmtId="252" fontId="97" fillId="0" borderId="0"/>
    <xf numFmtId="253" fontId="45" fillId="0" borderId="0" applyFont="0" applyFill="0" applyBorder="0" applyAlignment="0" applyProtection="0">
      <protection locked="0"/>
    </xf>
    <xf numFmtId="254" fontId="45" fillId="0" borderId="0" applyFont="0" applyFill="0" applyBorder="0" applyAlignment="0" applyProtection="0">
      <protection locked="0"/>
    </xf>
    <xf numFmtId="255" fontId="9" fillId="0" borderId="0">
      <alignment horizontal="right"/>
    </xf>
    <xf numFmtId="180" fontId="94" fillId="0" borderId="0" applyFont="0" applyFill="0" applyBorder="0" applyAlignment="0" applyProtection="0">
      <alignment horizontal="right"/>
    </xf>
    <xf numFmtId="256" fontId="28" fillId="0" borderId="0" applyFont="0" applyFill="0" applyBorder="0" applyAlignment="0" applyProtection="0"/>
    <xf numFmtId="257" fontId="9" fillId="0" borderId="0" applyFont="0" applyFill="0" applyBorder="0" applyAlignment="0" applyProtection="0"/>
    <xf numFmtId="180" fontId="94" fillId="0" borderId="0" applyFont="0" applyFill="0" applyBorder="0" applyAlignment="0" applyProtection="0">
      <alignment horizontal="right"/>
    </xf>
    <xf numFmtId="256" fontId="13" fillId="0" borderId="0" applyFont="0" applyFill="0" applyBorder="0" applyAlignment="0" applyProtection="0"/>
    <xf numFmtId="251" fontId="9" fillId="0" borderId="0" applyFont="0" applyFill="0" applyBorder="0" applyAlignment="0" applyProtection="0"/>
    <xf numFmtId="256" fontId="13" fillId="0" borderId="0" applyFont="0" applyFill="0" applyBorder="0" applyAlignment="0" applyProtection="0"/>
    <xf numFmtId="256" fontId="13" fillId="0" borderId="0" applyFont="0" applyFill="0" applyBorder="0" applyAlignment="0" applyProtection="0"/>
    <xf numFmtId="258" fontId="9" fillId="0" borderId="0" applyFont="0" applyFill="0" applyBorder="0" applyAlignment="0" applyProtection="0"/>
    <xf numFmtId="180" fontId="9" fillId="0" borderId="0" applyFont="0" applyFill="0" applyBorder="0" applyAlignment="0" applyProtection="0"/>
    <xf numFmtId="49" fontId="98" fillId="81" borderId="0" applyAlignment="0" applyProtection="0">
      <alignment vertical="center"/>
    </xf>
    <xf numFmtId="259" fontId="44" fillId="46" borderId="11">
      <alignment horizontal="right"/>
    </xf>
    <xf numFmtId="260" fontId="41" fillId="0" borderId="0" applyFont="0" applyFill="0" applyBorder="0" applyAlignment="0" applyProtection="0"/>
    <xf numFmtId="229" fontId="43" fillId="45" borderId="18">
      <protection locked="0"/>
    </xf>
    <xf numFmtId="230" fontId="43" fillId="45" borderId="18">
      <protection locked="0"/>
    </xf>
    <xf numFmtId="231" fontId="43" fillId="45" borderId="18">
      <protection locked="0"/>
    </xf>
    <xf numFmtId="229" fontId="43" fillId="45" borderId="18">
      <protection locked="0"/>
    </xf>
    <xf numFmtId="232" fontId="43" fillId="45" borderId="18">
      <protection locked="0"/>
    </xf>
    <xf numFmtId="233" fontId="43" fillId="45" borderId="18">
      <protection locked="0"/>
    </xf>
    <xf numFmtId="234" fontId="43" fillId="45" borderId="18">
      <protection locked="0"/>
    </xf>
    <xf numFmtId="232" fontId="43" fillId="45" borderId="18">
      <protection locked="0"/>
    </xf>
    <xf numFmtId="235" fontId="43" fillId="37" borderId="18">
      <alignment horizontal="right"/>
      <protection locked="0"/>
    </xf>
    <xf numFmtId="236" fontId="43" fillId="37" borderId="18">
      <alignment horizontal="right"/>
      <protection locked="0"/>
    </xf>
    <xf numFmtId="0" fontId="43" fillId="82" borderId="18">
      <alignment horizontal="left"/>
      <protection locked="0"/>
    </xf>
    <xf numFmtId="49" fontId="43" fillId="38" borderId="18">
      <alignment horizontal="left" vertical="top" wrapText="1"/>
      <protection locked="0"/>
    </xf>
    <xf numFmtId="237" fontId="43" fillId="45" borderId="18">
      <protection locked="0"/>
    </xf>
    <xf numFmtId="238" fontId="43" fillId="45" borderId="18">
      <protection locked="0"/>
    </xf>
    <xf numFmtId="239" fontId="43" fillId="45" borderId="18">
      <protection locked="0"/>
    </xf>
    <xf numFmtId="237" fontId="43" fillId="45" borderId="18">
      <protection locked="0"/>
    </xf>
    <xf numFmtId="49" fontId="43" fillId="38" borderId="18">
      <alignment horizontal="left"/>
      <protection locked="0"/>
    </xf>
    <xf numFmtId="261" fontId="43" fillId="45" borderId="18">
      <alignment horizontal="left" indent="1"/>
      <protection locked="0"/>
    </xf>
    <xf numFmtId="262" fontId="9" fillId="45" borderId="19"/>
    <xf numFmtId="262" fontId="9" fillId="45" borderId="19"/>
    <xf numFmtId="262" fontId="9" fillId="45" borderId="19"/>
    <xf numFmtId="262" fontId="9" fillId="45" borderId="19"/>
    <xf numFmtId="262" fontId="9" fillId="45" borderId="19"/>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263" fontId="9" fillId="0" borderId="0" applyFill="0" applyBorder="0"/>
    <xf numFmtId="180" fontId="94" fillId="0" borderId="0" applyFont="0" applyFill="0" applyBorder="0" applyAlignment="0" applyProtection="0"/>
    <xf numFmtId="264" fontId="9" fillId="0" borderId="0" applyFont="0" applyFill="0" applyBorder="0" applyAlignment="0" applyProtection="0"/>
    <xf numFmtId="180" fontId="94" fillId="0" borderId="0" applyFont="0" applyFill="0" applyBorder="0" applyAlignment="0" applyProtection="0"/>
    <xf numFmtId="180" fontId="93" fillId="50" borderId="0">
      <alignment horizontal="left"/>
    </xf>
    <xf numFmtId="263" fontId="9" fillId="0" borderId="0" applyFill="0" applyBorder="0"/>
    <xf numFmtId="14" fontId="9" fillId="0" borderId="0"/>
    <xf numFmtId="265" fontId="9" fillId="0" borderId="0" applyFont="0" applyFill="0" applyBorder="0" applyAlignment="0" applyProtection="0"/>
    <xf numFmtId="266" fontId="9" fillId="0" borderId="0" applyFont="0" applyFill="0" applyBorder="0" applyProtection="0">
      <alignment vertical="top"/>
    </xf>
    <xf numFmtId="266" fontId="9" fillId="0" borderId="0" applyFont="0" applyFill="0" applyBorder="0" applyProtection="0">
      <alignment vertical="top"/>
    </xf>
    <xf numFmtId="266" fontId="9" fillId="0" borderId="0" applyFont="0" applyFill="0" applyBorder="0" applyProtection="0">
      <alignment vertical="top"/>
    </xf>
    <xf numFmtId="267" fontId="9" fillId="0" borderId="0" applyFont="0" applyFill="0" applyBorder="0" applyAlignment="0" applyProtection="0"/>
    <xf numFmtId="266" fontId="9" fillId="0" borderId="0" applyFont="0" applyFill="0" applyBorder="0" applyProtection="0">
      <alignment vertical="top"/>
    </xf>
    <xf numFmtId="267" fontId="9" fillId="0" borderId="0" applyFont="0" applyFill="0" applyBorder="0" applyAlignment="0" applyProtection="0"/>
    <xf numFmtId="268" fontId="9" fillId="0" borderId="0" applyFont="0" applyFill="0" applyBorder="0" applyProtection="0">
      <alignment vertical="top"/>
    </xf>
    <xf numFmtId="268" fontId="9" fillId="0" borderId="0" applyFont="0" applyFill="0" applyBorder="0" applyProtection="0">
      <alignment vertical="top"/>
    </xf>
    <xf numFmtId="268" fontId="9" fillId="0" borderId="0" applyFont="0" applyFill="0" applyBorder="0" applyProtection="0">
      <alignment vertical="top"/>
    </xf>
    <xf numFmtId="268" fontId="9" fillId="0" borderId="0" applyFont="0" applyFill="0" applyBorder="0" applyProtection="0">
      <alignment vertical="top"/>
    </xf>
    <xf numFmtId="212" fontId="57" fillId="0" borderId="0">
      <alignment horizontal="right"/>
    </xf>
    <xf numFmtId="207" fontId="57" fillId="0" borderId="0">
      <alignment horizontal="right"/>
      <protection locked="0"/>
    </xf>
    <xf numFmtId="207" fontId="57" fillId="0" borderId="0"/>
    <xf numFmtId="269" fontId="57" fillId="0" borderId="0">
      <alignment horizontal="right"/>
      <protection locked="0"/>
    </xf>
    <xf numFmtId="207" fontId="58" fillId="0" borderId="0"/>
    <xf numFmtId="270" fontId="53" fillId="83" borderId="0" applyAlignment="0" applyProtection="0">
      <alignment horizontal="right"/>
    </xf>
    <xf numFmtId="271" fontId="9" fillId="0" borderId="0" applyFont="0" applyFill="0" applyBorder="0" applyAlignment="0" applyProtection="0"/>
    <xf numFmtId="166" fontId="9" fillId="0" borderId="0" applyFont="0" applyFill="0" applyBorder="0" applyAlignment="0" applyProtection="0"/>
    <xf numFmtId="204" fontId="65" fillId="46" borderId="0" applyNumberFormat="0" applyFont="0" applyBorder="0" applyAlignment="0" applyProtection="0"/>
    <xf numFmtId="254" fontId="41" fillId="0" borderId="0" applyFill="0" applyBorder="0" applyProtection="0">
      <alignment horizontal="center"/>
    </xf>
    <xf numFmtId="253" fontId="41" fillId="0" borderId="0">
      <alignment horizontal="center"/>
    </xf>
    <xf numFmtId="254" fontId="41" fillId="0" borderId="0" applyFill="0" applyBorder="0" applyProtection="0">
      <alignment horizontal="center"/>
    </xf>
    <xf numFmtId="251" fontId="99" fillId="0" borderId="0">
      <alignment horizontal="center"/>
    </xf>
    <xf numFmtId="180" fontId="94" fillId="0" borderId="20" applyNumberFormat="0" applyFont="0" applyFill="0" applyAlignment="0" applyProtection="0"/>
    <xf numFmtId="210" fontId="100" fillId="0" borderId="21"/>
    <xf numFmtId="211" fontId="57" fillId="0" borderId="0"/>
    <xf numFmtId="38" fontId="49" fillId="0" borderId="0" applyFont="0" applyFill="0" applyBorder="0" applyAlignment="0" applyProtection="0"/>
    <xf numFmtId="180" fontId="101" fillId="0" borderId="0" applyFont="0" applyFill="0" applyBorder="0" applyAlignment="0" applyProtection="0"/>
    <xf numFmtId="180" fontId="102" fillId="0" borderId="0" applyNumberFormat="0" applyAlignment="0">
      <alignment horizontal="left"/>
    </xf>
    <xf numFmtId="272" fontId="44" fillId="0" borderId="0"/>
    <xf numFmtId="273" fontId="44" fillId="0" borderId="0"/>
    <xf numFmtId="274" fontId="44" fillId="0" borderId="0"/>
    <xf numFmtId="275" fontId="44" fillId="0" borderId="0"/>
    <xf numFmtId="276" fontId="44" fillId="0" borderId="0"/>
    <xf numFmtId="277" fontId="44" fillId="0" borderId="0"/>
    <xf numFmtId="189" fontId="4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78" fontId="9"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180" fontId="9" fillId="0" borderId="0" applyFon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9" fontId="105" fillId="0" borderId="0" applyNumberFormat="0" applyFill="0" applyBorder="0" applyAlignment="0" applyProtection="0"/>
    <xf numFmtId="0" fontId="41" fillId="79" borderId="0" applyNumberFormat="0" applyFont="0" applyBorder="0" applyAlignment="0" applyProtection="0"/>
    <xf numFmtId="0" fontId="41" fillId="79" borderId="0" applyNumberFormat="0" applyFont="0" applyBorder="0" applyAlignment="0" applyProtection="0"/>
    <xf numFmtId="0" fontId="106" fillId="0" borderId="0" applyNumberFormat="0" applyFill="0" applyBorder="0" applyAlignment="0" applyProtection="0"/>
    <xf numFmtId="281" fontId="107" fillId="0" borderId="0" applyFill="0" applyBorder="0"/>
    <xf numFmtId="15" fontId="18" fillId="0" borderId="0" applyFill="0" applyBorder="0" applyProtection="0">
      <alignment horizontal="center"/>
    </xf>
    <xf numFmtId="0" fontId="41" fillId="20" borderId="0" applyNumberFormat="0" applyFont="0" applyBorder="0" applyAlignment="0" applyProtection="0"/>
    <xf numFmtId="0" fontId="41" fillId="20" borderId="0" applyNumberFormat="0" applyFont="0" applyBorder="0" applyAlignment="0" applyProtection="0"/>
    <xf numFmtId="282" fontId="108" fillId="0" borderId="0" applyFill="0" applyBorder="0" applyProtection="0"/>
    <xf numFmtId="283" fontId="19" fillId="61" borderId="2" applyAlignment="0" applyProtection="0"/>
    <xf numFmtId="283" fontId="19" fillId="61" borderId="2" applyAlignment="0" applyProtection="0"/>
    <xf numFmtId="284" fontId="109" fillId="0" borderId="0" applyNumberFormat="0" applyFill="0" applyBorder="0" applyAlignment="0" applyProtection="0"/>
    <xf numFmtId="284" fontId="110" fillId="0" borderId="0" applyNumberFormat="0" applyFill="0" applyBorder="0" applyAlignment="0" applyProtection="0"/>
    <xf numFmtId="15" fontId="106" fillId="45" borderId="18">
      <alignment horizontal="center"/>
      <protection locked="0"/>
    </xf>
    <xf numFmtId="285" fontId="106" fillId="45" borderId="18" applyAlignment="0">
      <protection locked="0"/>
    </xf>
    <xf numFmtId="286" fontId="106" fillId="45" borderId="18" applyAlignment="0">
      <protection locked="0"/>
    </xf>
    <xf numFmtId="286" fontId="18" fillId="0" borderId="0" applyFill="0" applyBorder="0" applyAlignment="0" applyProtection="0"/>
    <xf numFmtId="287" fontId="18" fillId="0" borderId="0" applyFill="0" applyBorder="0" applyAlignment="0" applyProtection="0"/>
    <xf numFmtId="287" fontId="18" fillId="0" borderId="0" applyFill="0" applyBorder="0" applyAlignment="0" applyProtection="0"/>
    <xf numFmtId="288" fontId="18" fillId="0" borderId="0" applyFill="0" applyBorder="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28" borderId="0" applyNumberFormat="0" applyFont="0" applyBorder="0" applyAlignment="0" applyProtection="0"/>
    <xf numFmtId="0" fontId="41" fillId="28" borderId="0" applyNumberFormat="0" applyFont="0" applyBorder="0" applyAlignment="0" applyProtection="0"/>
    <xf numFmtId="191" fontId="9" fillId="0" borderId="0" applyFont="0" applyFill="0" applyBorder="0" applyAlignment="0" applyProtection="0"/>
    <xf numFmtId="164" fontId="9" fillId="0" borderId="0" applyFont="0" applyFill="0" applyBorder="0" applyAlignment="0" applyProtection="0"/>
    <xf numFmtId="289" fontId="9" fillId="0" borderId="0" applyFont="0" applyFill="0" applyBorder="0" applyAlignment="0" applyProtection="0"/>
    <xf numFmtId="290" fontId="9" fillId="0" borderId="0" applyFont="0" applyFill="0" applyBorder="0" applyProtection="0">
      <alignment vertical="top"/>
    </xf>
    <xf numFmtId="290" fontId="9" fillId="0" borderId="0" applyFont="0" applyFill="0" applyBorder="0" applyProtection="0">
      <alignment vertical="top"/>
    </xf>
    <xf numFmtId="290" fontId="9" fillId="0" borderId="0" applyFont="0" applyFill="0" applyBorder="0" applyProtection="0">
      <alignment vertical="top"/>
    </xf>
    <xf numFmtId="290" fontId="9" fillId="0" borderId="0" applyFont="0" applyFill="0" applyBorder="0" applyProtection="0">
      <alignment vertical="top"/>
    </xf>
    <xf numFmtId="1" fontId="111" fillId="84" borderId="24" applyNumberFormat="0" applyBorder="0" applyAlignment="0">
      <alignment horizontal="centerContinuous" vertical="center"/>
      <protection locked="0"/>
    </xf>
    <xf numFmtId="180" fontId="95" fillId="0" borderId="0">
      <protection locked="0"/>
    </xf>
    <xf numFmtId="251" fontId="112" fillId="0" borderId="0"/>
    <xf numFmtId="251" fontId="112" fillId="0" borderId="0"/>
    <xf numFmtId="180" fontId="113" fillId="0" borderId="0"/>
    <xf numFmtId="180" fontId="114" fillId="0" borderId="0" applyFill="0" applyBorder="0" applyProtection="0">
      <alignment horizontal="left"/>
    </xf>
    <xf numFmtId="4" fontId="115" fillId="0" borderId="0">
      <protection locked="0"/>
    </xf>
    <xf numFmtId="0" fontId="98" fillId="19" borderId="0" applyAlignment="0" applyProtection="0">
      <alignment horizontal="right" vertical="center"/>
    </xf>
    <xf numFmtId="252" fontId="116" fillId="0" borderId="0"/>
    <xf numFmtId="273" fontId="44" fillId="0" borderId="25"/>
    <xf numFmtId="291" fontId="44" fillId="46" borderId="11">
      <alignment horizontal="right"/>
    </xf>
    <xf numFmtId="292" fontId="9" fillId="0" borderId="0" applyFont="0" applyFill="0" applyBorder="0" applyAlignment="0" applyProtection="0"/>
    <xf numFmtId="293" fontId="117" fillId="0" borderId="0" applyFont="0" applyFill="0" applyBorder="0" applyAlignment="0" applyProtection="0"/>
    <xf numFmtId="294" fontId="9" fillId="0" borderId="0" applyFont="0" applyFill="0" applyBorder="0" applyAlignment="0" applyProtection="0"/>
    <xf numFmtId="295" fontId="117"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189" fontId="119" fillId="57" borderId="0" applyNumberFormat="0" applyBorder="0" applyAlignment="0" applyProtection="0"/>
    <xf numFmtId="2" fontId="120" fillId="50" borderId="11" applyProtection="0">
      <alignment horizontal="left"/>
      <protection locked="0"/>
    </xf>
    <xf numFmtId="38" fontId="53" fillId="46" borderId="0" applyNumberFormat="0" applyBorder="0" applyAlignment="0" applyProtection="0"/>
    <xf numFmtId="0" fontId="9" fillId="61" borderId="0" applyNumberFormat="0" applyFont="0" applyBorder="0" applyAlignment="0" applyProtection="0"/>
    <xf numFmtId="296" fontId="93" fillId="36" borderId="26" applyNumberFormat="0" applyFont="0" applyAlignment="0"/>
    <xf numFmtId="180" fontId="94" fillId="0" borderId="0" applyFont="0" applyFill="0" applyBorder="0" applyAlignment="0" applyProtection="0">
      <alignment horizontal="right"/>
    </xf>
    <xf numFmtId="180" fontId="121" fillId="0" borderId="0" applyProtection="0">
      <alignment horizontal="right"/>
    </xf>
    <xf numFmtId="180" fontId="78" fillId="0" borderId="27" applyNumberFormat="0" applyAlignment="0" applyProtection="0">
      <alignment horizontal="left" vertical="center"/>
    </xf>
    <xf numFmtId="180" fontId="78" fillId="0" borderId="28">
      <alignment horizontal="left" vertical="center"/>
    </xf>
    <xf numFmtId="2" fontId="74" fillId="76" borderId="0" applyAlignment="0">
      <alignment horizontal="right"/>
      <protection locked="0"/>
    </xf>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189" fontId="124" fillId="0" borderId="30"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189" fontId="127" fillId="0" borderId="31"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189" fontId="130" fillId="0" borderId="32"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189" fontId="130" fillId="0" borderId="0" applyNumberFormat="0" applyFill="0" applyBorder="0" applyAlignment="0" applyProtection="0"/>
    <xf numFmtId="180" fontId="41" fillId="0" borderId="0">
      <protection locked="0"/>
    </xf>
    <xf numFmtId="180" fontId="41" fillId="0" borderId="0">
      <protection locked="0"/>
    </xf>
    <xf numFmtId="297" fontId="131" fillId="0" borderId="0">
      <alignment horizontal="right"/>
    </xf>
    <xf numFmtId="298" fontId="61" fillId="0" borderId="0" applyAlignment="0">
      <alignment horizontal="right"/>
      <protection hidden="1"/>
    </xf>
    <xf numFmtId="180" fontId="106" fillId="0" borderId="33" applyNumberFormat="0" applyFill="0" applyAlignment="0" applyProtection="0"/>
    <xf numFmtId="204" fontId="132" fillId="0" borderId="0" applyNumberFormat="0" applyBorder="0" applyAlignment="0" applyProtection="0">
      <alignment horizontal="right" wrapText="1"/>
    </xf>
    <xf numFmtId="0" fontId="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189" fontId="13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189" fontId="140" fillId="0" borderId="0" applyNumberFormat="0" applyFill="0" applyBorder="0" applyAlignment="0" applyProtection="0">
      <alignment vertical="top"/>
      <protection locked="0"/>
    </xf>
    <xf numFmtId="180" fontId="141" fillId="0" borderId="0">
      <alignment wrapText="1"/>
    </xf>
    <xf numFmtId="10" fontId="53" fillId="36" borderId="26" applyNumberFormat="0" applyBorder="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189" fontId="144" fillId="60" borderId="34" applyNumberFormat="0" applyAlignment="0" applyProtection="0"/>
    <xf numFmtId="189" fontId="144" fillId="60" borderId="34" applyNumberFormat="0" applyAlignment="0" applyProtection="0"/>
    <xf numFmtId="0" fontId="53" fillId="0" borderId="0" applyNumberFormat="0" applyFill="0" applyBorder="0" applyAlignment="0">
      <protection locked="0"/>
    </xf>
    <xf numFmtId="0" fontId="145" fillId="34" borderId="0"/>
    <xf numFmtId="240" fontId="64" fillId="86" borderId="0">
      <protection locked="0"/>
    </xf>
    <xf numFmtId="299" fontId="41" fillId="0" borderId="0"/>
    <xf numFmtId="0" fontId="146" fillId="0" borderId="0"/>
    <xf numFmtId="38" fontId="147" fillId="0" borderId="0"/>
    <xf numFmtId="38" fontId="148" fillId="0" borderId="0"/>
    <xf numFmtId="38" fontId="149" fillId="0" borderId="0"/>
    <xf numFmtId="38" fontId="150" fillId="0" borderId="0"/>
    <xf numFmtId="0" fontId="67" fillId="0" borderId="0"/>
    <xf numFmtId="0" fontId="67" fillId="0" borderId="0"/>
    <xf numFmtId="0" fontId="67" fillId="0" borderId="0"/>
    <xf numFmtId="0" fontId="43" fillId="0" borderId="0"/>
    <xf numFmtId="0" fontId="151" fillId="0" borderId="0"/>
    <xf numFmtId="0" fontId="152" fillId="0" borderId="0">
      <alignment horizontal="center"/>
    </xf>
    <xf numFmtId="300" fontId="153" fillId="0" borderId="0" applyFont="0" applyFill="0" applyBorder="0" applyAlignment="0" applyProtection="0"/>
    <xf numFmtId="180" fontId="9" fillId="0" borderId="0" applyNumberFormat="0" applyFont="0" applyFill="0" applyBorder="0" applyProtection="0">
      <alignment horizontal="left" vertical="center"/>
    </xf>
    <xf numFmtId="168" fontId="36" fillId="2" borderId="0"/>
    <xf numFmtId="168" fontId="37" fillId="53" borderId="0"/>
    <xf numFmtId="180" fontId="53" fillId="46" borderId="0"/>
    <xf numFmtId="38" fontId="154" fillId="0" borderId="0" applyNumberFormat="0" applyFill="0" applyBorder="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189" fontId="157" fillId="0" borderId="36" applyNumberFormat="0" applyFill="0" applyAlignment="0" applyProtection="0"/>
    <xf numFmtId="0" fontId="98" fillId="87" borderId="0" applyAlignment="0" applyProtection="0">
      <alignment horizontal="right" vertical="center"/>
    </xf>
    <xf numFmtId="197" fontId="54" fillId="0" borderId="0" applyFont="0" applyFill="0" applyBorder="0" applyAlignment="0" applyProtection="0">
      <alignment horizontal="right"/>
    </xf>
    <xf numFmtId="301"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302"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180" fontId="44" fillId="0" borderId="0">
      <alignment horizontal="right"/>
    </xf>
    <xf numFmtId="40" fontId="158" fillId="0" borderId="0">
      <alignment horizontal="right"/>
    </xf>
    <xf numFmtId="37" fontId="159" fillId="0" borderId="0"/>
    <xf numFmtId="180" fontId="160" fillId="0" borderId="0">
      <alignment vertical="center"/>
    </xf>
    <xf numFmtId="180" fontId="9" fillId="0" borderId="0" applyNumberFormat="0" applyFill="0" applyBorder="0" applyAlignment="0" applyProtection="0"/>
    <xf numFmtId="16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303" fontId="9" fillId="0" borderId="0" applyFont="0" applyFill="0" applyBorder="0" applyAlignment="0" applyProtection="0"/>
    <xf numFmtId="304" fontId="44" fillId="0" borderId="0">
      <alignment horizontal="right"/>
    </xf>
    <xf numFmtId="180" fontId="161" fillId="0" borderId="17"/>
    <xf numFmtId="305" fontId="49" fillId="0" borderId="0" applyFont="0" applyFill="0" applyBorder="0" applyAlignment="0" applyProtection="0"/>
    <xf numFmtId="306" fontId="4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307" fontId="53" fillId="36" borderId="0">
      <alignment horizontal="center"/>
    </xf>
    <xf numFmtId="308" fontId="41" fillId="0" borderId="0" applyFill="0" applyBorder="0" applyProtection="0">
      <alignment horizontal="center"/>
    </xf>
    <xf numFmtId="309" fontId="41" fillId="0" borderId="0" applyFont="0" applyFill="0" applyBorder="0" applyAlignment="0" applyProtection="0">
      <alignment horizontal="centerContinuous"/>
      <protection locked="0"/>
    </xf>
    <xf numFmtId="49" fontId="162" fillId="81" borderId="0" applyAlignment="0" applyProtection="0">
      <alignment horizontal="centerContinuous" vertical="center"/>
    </xf>
    <xf numFmtId="310" fontId="53" fillId="0" borderId="0" applyFont="0" applyFill="0" applyBorder="0" applyAlignment="0" applyProtection="0">
      <alignment horizontal="right"/>
    </xf>
    <xf numFmtId="0" fontId="81" fillId="0" borderId="0">
      <alignment horizontal="right"/>
    </xf>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189" fontId="164" fillId="18" borderId="0" applyNumberFormat="0" applyBorder="0" applyAlignment="0" applyProtection="0"/>
    <xf numFmtId="37" fontId="165" fillId="0" borderId="0"/>
    <xf numFmtId="297" fontId="166" fillId="0" borderId="0"/>
    <xf numFmtId="311" fontId="45" fillId="0" borderId="0"/>
    <xf numFmtId="311" fontId="45" fillId="0" borderId="9"/>
    <xf numFmtId="311" fontId="45" fillId="0" borderId="37"/>
    <xf numFmtId="311" fontId="45" fillId="0" borderId="0"/>
    <xf numFmtId="312" fontId="57" fillId="0" borderId="0"/>
    <xf numFmtId="313" fontId="57" fillId="0" borderId="0"/>
    <xf numFmtId="314" fontId="57" fillId="0" borderId="0"/>
    <xf numFmtId="315" fontId="53" fillId="0" borderId="0"/>
    <xf numFmtId="316" fontId="53" fillId="0" borderId="0"/>
    <xf numFmtId="38" fontId="9" fillId="0" borderId="0" applyFont="0" applyFill="0" applyBorder="0" applyAlignment="0" applyProtection="0"/>
    <xf numFmtId="0" fontId="7" fillId="0" borderId="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17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7"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2" fillId="0" borderId="0"/>
    <xf numFmtId="0" fontId="13" fillId="0" borderId="0"/>
    <xf numFmtId="18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9"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18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18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24"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12" fillId="0" borderId="0"/>
    <xf numFmtId="0" fontId="12" fillId="0" borderId="0"/>
    <xf numFmtId="0" fontId="12" fillId="0" borderId="0"/>
    <xf numFmtId="0" fontId="12" fillId="0" borderId="0"/>
    <xf numFmtId="0" fontId="12" fillId="0" borderId="0"/>
    <xf numFmtId="18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9" fillId="0" borderId="0"/>
    <xf numFmtId="0" fontId="12" fillId="0" borderId="0" applyFont="0" applyFill="0" applyBorder="0" applyAlignment="0" applyProtection="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12" fillId="0" borderId="0"/>
    <xf numFmtId="0" fontId="12" fillId="0" borderId="0" applyFont="0" applyFill="0" applyBorder="0" applyAlignment="0" applyProtection="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89" fontId="1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10" fillId="0" borderId="0"/>
    <xf numFmtId="189" fontId="10"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6" fillId="0" borderId="0"/>
    <xf numFmtId="0" fontId="9" fillId="0" borderId="0"/>
    <xf numFmtId="180" fontId="9"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189"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4" fontId="7" fillId="0" borderId="0"/>
    <xf numFmtId="174" fontId="24" fillId="0" borderId="0"/>
    <xf numFmtId="174" fontId="24" fillId="0" borderId="0"/>
    <xf numFmtId="174" fontId="24" fillId="0" borderId="0"/>
    <xf numFmtId="174" fontId="24" fillId="0" borderId="0"/>
    <xf numFmtId="174" fontId="24" fillId="0" borderId="0"/>
    <xf numFmtId="174" fontId="7" fillId="0" borderId="0"/>
    <xf numFmtId="174" fontId="24" fillId="0" borderId="0"/>
    <xf numFmtId="174" fontId="24" fillId="0" borderId="0"/>
    <xf numFmtId="174" fontId="24" fillId="0" borderId="0"/>
    <xf numFmtId="174" fontId="24" fillId="0" borderId="0"/>
    <xf numFmtId="174" fontId="7" fillId="0" borderId="0"/>
    <xf numFmtId="174" fontId="7" fillId="0" borderId="0"/>
    <xf numFmtId="174" fontId="7" fillId="0" borderId="0"/>
    <xf numFmtId="174" fontId="7" fillId="0" borderId="0"/>
    <xf numFmtId="174" fontId="24" fillId="0" borderId="0"/>
    <xf numFmtId="174" fontId="24" fillId="0" borderId="0"/>
    <xf numFmtId="174" fontId="24" fillId="0" borderId="0"/>
    <xf numFmtId="174" fontId="24" fillId="0" borderId="0"/>
    <xf numFmtId="174" fontId="7" fillId="0" borderId="0"/>
    <xf numFmtId="174" fontId="7" fillId="0" borderId="0"/>
    <xf numFmtId="174" fontId="7" fillId="0" borderId="0"/>
    <xf numFmtId="174" fontId="7" fillId="0" borderId="0"/>
    <xf numFmtId="174" fontId="24" fillId="0" borderId="0"/>
    <xf numFmtId="174" fontId="24" fillId="0" borderId="0"/>
    <xf numFmtId="174"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9" fontId="7" fillId="0" borderId="0"/>
    <xf numFmtId="0" fontId="28" fillId="0" borderId="0" applyFill="0" applyBorder="0" applyAlignment="0" applyProtection="0"/>
    <xf numFmtId="0" fontId="28"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24" fillId="0" borderId="0"/>
    <xf numFmtId="0" fontId="9" fillId="0" borderId="0"/>
    <xf numFmtId="0" fontId="9" fillId="0" borderId="0"/>
    <xf numFmtId="0" fontId="7" fillId="0" borderId="0"/>
    <xf numFmtId="0" fontId="9"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8" fillId="0" borderId="0"/>
    <xf numFmtId="0" fontId="9" fillId="0" borderId="0" applyNumberFormat="0" applyFont="0" applyFill="0" applyBorder="0" applyAlignment="0" applyProtection="0"/>
    <xf numFmtId="0" fontId="18" fillId="0" borderId="0"/>
    <xf numFmtId="0" fontId="18" fillId="0" borderId="0"/>
    <xf numFmtId="0" fontId="18" fillId="0" borderId="0"/>
    <xf numFmtId="0" fontId="6" fillId="0" borderId="0"/>
    <xf numFmtId="0" fontId="28" fillId="0" borderId="0"/>
    <xf numFmtId="0" fontId="28" fillId="0" borderId="0"/>
    <xf numFmtId="0" fontId="9" fillId="0" borderId="0" applyNumberFormat="0" applyFont="0" applyFill="0" applyBorder="0" applyAlignment="0" applyProtection="0"/>
    <xf numFmtId="0" fontId="2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8"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25"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317" fontId="55" fillId="0" borderId="37"/>
    <xf numFmtId="0" fontId="106" fillId="0" borderId="0" applyFill="0" applyBorder="0">
      <protection locked="0"/>
    </xf>
    <xf numFmtId="180" fontId="9" fillId="0" borderId="0"/>
    <xf numFmtId="180" fontId="168" fillId="0" borderId="0"/>
    <xf numFmtId="180" fontId="169" fillId="0" borderId="0"/>
    <xf numFmtId="180" fontId="170" fillId="0" borderId="0"/>
    <xf numFmtId="180" fontId="171" fillId="0" borderId="0"/>
    <xf numFmtId="180" fontId="50" fillId="0" borderId="0"/>
    <xf numFmtId="38" fontId="172" fillId="0" borderId="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189" fontId="9" fillId="34" borderId="38" applyNumberFormat="0" applyFont="0" applyAlignment="0" applyProtection="0"/>
    <xf numFmtId="189" fontId="9" fillId="34" borderId="38" applyNumberFormat="0" applyFont="0" applyAlignment="0" applyProtection="0"/>
    <xf numFmtId="0" fontId="173" fillId="83" borderId="0" applyAlignment="0" applyProtection="0">
      <alignment horizontal="left" vertical="top" wrapText="1"/>
    </xf>
    <xf numFmtId="284" fontId="9" fillId="45" borderId="39" applyFont="0" applyFill="0" applyBorder="0" applyAlignment="0" applyProtection="0">
      <protection locked="0"/>
    </xf>
    <xf numFmtId="37" fontId="9" fillId="0" borderId="0"/>
    <xf numFmtId="318" fontId="40" fillId="50" borderId="40" applyNumberFormat="0">
      <alignment vertical="center"/>
    </xf>
    <xf numFmtId="318" fontId="40" fillId="88" borderId="40" applyNumberFormat="0">
      <alignment vertical="center"/>
    </xf>
    <xf numFmtId="318" fontId="40" fillId="40" borderId="40" applyNumberFormat="0">
      <alignment vertical="center"/>
    </xf>
    <xf numFmtId="318" fontId="40" fillId="38" borderId="40" applyNumberFormat="0">
      <alignment vertical="center"/>
    </xf>
    <xf numFmtId="318" fontId="40" fillId="89" borderId="40" applyNumberFormat="0">
      <alignment vertical="center"/>
    </xf>
    <xf numFmtId="318" fontId="40" fillId="46" borderId="40" applyNumberFormat="0">
      <alignment vertical="center"/>
    </xf>
    <xf numFmtId="318" fontId="40" fillId="90" borderId="40" applyNumberFormat="0">
      <alignment vertical="center"/>
    </xf>
    <xf numFmtId="318" fontId="40" fillId="80" borderId="40" applyNumberFormat="0">
      <alignment vertical="center"/>
    </xf>
    <xf numFmtId="318" fontId="40" fillId="91" borderId="40" applyNumberFormat="0">
      <alignment vertical="center"/>
    </xf>
    <xf numFmtId="318" fontId="40" fillId="92" borderId="40" applyNumberFormat="0">
      <alignment vertical="center"/>
    </xf>
    <xf numFmtId="318" fontId="174" fillId="45" borderId="40">
      <protection locked="0"/>
    </xf>
    <xf numFmtId="318" fontId="174" fillId="37" borderId="40">
      <protection locked="0"/>
    </xf>
    <xf numFmtId="318" fontId="175" fillId="37" borderId="41" applyNumberFormat="0" applyFont="0" applyFill="0" applyAlignment="0" applyProtection="0">
      <protection locked="0"/>
    </xf>
    <xf numFmtId="318" fontId="81" fillId="0" borderId="0" applyNumberFormat="0" applyFill="0">
      <alignment horizontal="left" vertical="top"/>
    </xf>
    <xf numFmtId="0" fontId="176" fillId="93" borderId="0" applyNumberFormat="0">
      <alignment horizontal="left" vertical="center" indent="1"/>
    </xf>
    <xf numFmtId="0" fontId="177" fillId="94" borderId="0" applyNumberFormat="0">
      <alignment vertical="center"/>
    </xf>
    <xf numFmtId="0" fontId="78" fillId="46" borderId="0">
      <alignment vertical="center"/>
    </xf>
    <xf numFmtId="0" fontId="178" fillId="0" borderId="42">
      <alignment vertical="center"/>
    </xf>
    <xf numFmtId="0" fontId="39" fillId="95" borderId="26" applyNumberFormat="0" applyFont="0" applyAlignment="0">
      <alignment vertical="center"/>
    </xf>
    <xf numFmtId="0" fontId="39" fillId="45" borderId="26" applyNumberFormat="0" applyFont="0" applyAlignment="0">
      <alignment vertical="center"/>
    </xf>
    <xf numFmtId="0" fontId="39" fillId="37" borderId="26" applyNumberFormat="0" applyFont="0" applyAlignment="0">
      <alignment vertical="center"/>
    </xf>
    <xf numFmtId="0" fontId="39" fillId="96" borderId="26" applyNumberFormat="0" applyFont="0" applyAlignment="0">
      <alignment vertical="center"/>
    </xf>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97" borderId="0">
      <alignment horizontal="right"/>
    </xf>
    <xf numFmtId="0" fontId="179" fillId="0" borderId="0">
      <alignment horizontal="left"/>
    </xf>
    <xf numFmtId="3" fontId="180" fillId="0" borderId="0" applyFill="0" applyBorder="0" applyAlignment="0" applyProtection="0"/>
    <xf numFmtId="180" fontId="181" fillId="12" borderId="43" applyNumberFormat="0" applyBorder="0" applyAlignment="0">
      <alignment horizontal="center"/>
      <protection hidden="1"/>
    </xf>
    <xf numFmtId="180" fontId="182" fillId="0" borderId="43" applyNumberFormat="0" applyBorder="0" applyAlignment="0">
      <alignment horizontal="center"/>
      <protection locked="0"/>
    </xf>
    <xf numFmtId="2" fontId="183" fillId="50" borderId="11">
      <alignment horizontal="left"/>
    </xf>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189" fontId="185" fillId="61" borderId="44" applyNumberFormat="0" applyAlignment="0" applyProtection="0"/>
    <xf numFmtId="189" fontId="185" fillId="61" borderId="44" applyNumberFormat="0" applyAlignment="0" applyProtection="0"/>
    <xf numFmtId="40" fontId="18" fillId="33" borderId="0">
      <alignment horizontal="right"/>
    </xf>
    <xf numFmtId="180" fontId="186" fillId="98" borderId="0">
      <alignment horizontal="center"/>
    </xf>
    <xf numFmtId="180" fontId="187" fillId="99" borderId="0"/>
    <xf numFmtId="180" fontId="188" fillId="33" borderId="0" applyBorder="0">
      <alignment horizontal="centerContinuous"/>
    </xf>
    <xf numFmtId="180" fontId="189" fillId="99" borderId="0" applyBorder="0">
      <alignment horizontal="centerContinuous"/>
    </xf>
    <xf numFmtId="319" fontId="9" fillId="0" borderId="0"/>
    <xf numFmtId="319" fontId="9" fillId="0" borderId="0"/>
    <xf numFmtId="319" fontId="9" fillId="0" borderId="0"/>
    <xf numFmtId="319" fontId="9" fillId="0" borderId="0"/>
    <xf numFmtId="171" fontId="9" fillId="0" borderId="0"/>
    <xf numFmtId="171" fontId="9" fillId="0" borderId="0"/>
    <xf numFmtId="171" fontId="9" fillId="0" borderId="0"/>
    <xf numFmtId="171" fontId="9" fillId="0" borderId="0"/>
    <xf numFmtId="171" fontId="9" fillId="0" borderId="0"/>
    <xf numFmtId="319" fontId="9" fillId="0" borderId="0"/>
    <xf numFmtId="180" fontId="41" fillId="100" borderId="0" applyNumberFormat="0" applyFont="0" applyBorder="0" applyAlignment="0"/>
    <xf numFmtId="1" fontId="190" fillId="0" borderId="0" applyProtection="0">
      <alignment horizontal="right" vertical="center"/>
    </xf>
    <xf numFmtId="193" fontId="191" fillId="0" borderId="0">
      <alignment horizontal="left"/>
    </xf>
    <xf numFmtId="320" fontId="44" fillId="0" borderId="0"/>
    <xf numFmtId="321" fontId="44" fillId="0" borderId="0"/>
    <xf numFmtId="255" fontId="9" fillId="0" borderId="0" applyFont="0" applyFill="0" applyBorder="0" applyAlignment="0" applyProtection="0"/>
    <xf numFmtId="322" fontId="9" fillId="0" borderId="0" applyFont="0" applyFill="0" applyBorder="0" applyAlignment="0" applyProtection="0"/>
    <xf numFmtId="170" fontId="45" fillId="0" borderId="0" applyFont="0" applyFill="0" applyBorder="0" applyAlignment="0" applyProtection="0">
      <protection locked="0"/>
    </xf>
    <xf numFmtId="10" fontId="45" fillId="0" borderId="0" applyFont="0" applyFill="0" applyBorder="0" applyAlignment="0" applyProtection="0">
      <protection locked="0"/>
    </xf>
    <xf numFmtId="10" fontId="9"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3" fontId="57" fillId="0" borderId="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24" fontId="64" fillId="80" borderId="0" applyBorder="0" applyAlignment="0">
      <protection locked="0"/>
    </xf>
    <xf numFmtId="9" fontId="57" fillId="0" borderId="0"/>
    <xf numFmtId="170" fontId="57" fillId="0" borderId="0"/>
    <xf numFmtId="10" fontId="57" fillId="0" borderId="0"/>
    <xf numFmtId="325" fontId="9" fillId="0" borderId="0" applyFont="0" applyFill="0" applyBorder="0" applyAlignment="0" applyProtection="0"/>
    <xf numFmtId="326" fontId="55" fillId="0" borderId="0"/>
    <xf numFmtId="327" fontId="55" fillId="0" borderId="0"/>
    <xf numFmtId="327" fontId="57" fillId="0" borderId="0"/>
    <xf numFmtId="328" fontId="9" fillId="0" borderId="0" applyBorder="0">
      <alignment horizontal="right"/>
    </xf>
    <xf numFmtId="329" fontId="53" fillId="0" borderId="0" applyBorder="0"/>
    <xf numFmtId="10" fontId="9" fillId="50" borderId="0"/>
    <xf numFmtId="180" fontId="9" fillId="0" borderId="0">
      <protection locked="0"/>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330" fontId="7" fillId="101" borderId="6">
      <alignment vertical="center"/>
    </xf>
    <xf numFmtId="0"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7" fillId="101"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24" fillId="90" borderId="6">
      <alignment vertical="center"/>
    </xf>
    <xf numFmtId="167"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101" borderId="6">
      <alignment vertical="center"/>
    </xf>
    <xf numFmtId="167" fontId="7" fillId="101" borderId="6">
      <alignment vertical="center"/>
    </xf>
    <xf numFmtId="0" fontId="24" fillId="101" borderId="6">
      <alignment vertical="center"/>
    </xf>
    <xf numFmtId="167" fontId="7" fillId="101" borderId="6">
      <alignment vertical="center"/>
    </xf>
    <xf numFmtId="0" fontId="24" fillId="101" borderId="6">
      <alignment vertical="center"/>
    </xf>
    <xf numFmtId="167" fontId="7" fillId="101" borderId="6">
      <alignment vertical="center"/>
    </xf>
    <xf numFmtId="0" fontId="24" fillId="101" borderId="6">
      <alignment vertical="center"/>
    </xf>
    <xf numFmtId="167"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167"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0" fontId="9" fillId="32" borderId="3" applyNumberFormat="0" applyProtection="0">
      <alignment horizontal="left" vertical="center" indent="1"/>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9" fillId="0" borderId="0" applyNumberFormat="0" applyFont="0" applyFill="0" applyBorder="0" applyAlignment="0" applyProtection="0"/>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101" borderId="6">
      <alignment vertical="center"/>
    </xf>
    <xf numFmtId="171" fontId="7" fillId="101" borderId="6">
      <alignment vertical="center"/>
    </xf>
    <xf numFmtId="171" fontId="24" fillId="101" borderId="6">
      <alignment vertical="center"/>
    </xf>
    <xf numFmtId="171" fontId="7" fillId="101" borderId="6">
      <alignment vertical="center"/>
    </xf>
    <xf numFmtId="171" fontId="24" fillId="101" borderId="6">
      <alignment vertical="center"/>
    </xf>
    <xf numFmtId="171" fontId="7"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67" fontId="24" fillId="90"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71" fontId="24" fillId="101" borderId="6">
      <alignment vertical="center"/>
    </xf>
    <xf numFmtId="167" fontId="7" fillId="101" borderId="6">
      <alignment vertical="center"/>
    </xf>
    <xf numFmtId="171" fontId="24" fillId="101" borderId="6">
      <alignment vertical="center"/>
    </xf>
    <xf numFmtId="167" fontId="7" fillId="101" borderId="6">
      <alignment vertical="center"/>
    </xf>
    <xf numFmtId="171" fontId="24" fillId="101" borderId="6">
      <alignment vertical="center"/>
    </xf>
    <xf numFmtId="167" fontId="7" fillId="101" borderId="6">
      <alignment vertical="center"/>
    </xf>
    <xf numFmtId="171" fontId="24" fillId="101" borderId="6">
      <alignment vertical="center"/>
    </xf>
    <xf numFmtId="167"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71"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71" fontId="24" fillId="90" borderId="6">
      <alignment vertical="center"/>
    </xf>
    <xf numFmtId="167" fontId="7" fillId="101" borderId="6">
      <alignment vertical="center"/>
    </xf>
    <xf numFmtId="171" fontId="24" fillId="90" borderId="6">
      <alignment vertical="center"/>
    </xf>
    <xf numFmtId="167" fontId="7" fillId="101" borderId="6">
      <alignment vertical="center"/>
    </xf>
    <xf numFmtId="167"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24" fillId="90"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101" borderId="6">
      <alignment vertical="center"/>
    </xf>
    <xf numFmtId="331" fontId="7" fillId="101" borderId="6">
      <alignment vertical="center"/>
    </xf>
    <xf numFmtId="171" fontId="24" fillId="101" borderId="6">
      <alignment vertical="center"/>
    </xf>
    <xf numFmtId="331" fontId="7" fillId="101" borderId="6">
      <alignment vertical="center"/>
    </xf>
    <xf numFmtId="171" fontId="24" fillId="101" borderId="6">
      <alignment vertical="center"/>
    </xf>
    <xf numFmtId="331" fontId="7" fillId="101" borderId="6">
      <alignment vertical="center"/>
    </xf>
    <xf numFmtId="171" fontId="24" fillId="101" borderId="6">
      <alignment vertical="center"/>
    </xf>
    <xf numFmtId="33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101" borderId="6">
      <alignment vertical="center"/>
    </xf>
    <xf numFmtId="331" fontId="24"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101" borderId="6">
      <alignment vertical="center"/>
    </xf>
    <xf numFmtId="331" fontId="24"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171" fontId="24" fillId="90" borderId="6">
      <alignment vertical="center"/>
    </xf>
    <xf numFmtId="331" fontId="7" fillId="101" borderId="6">
      <alignment vertical="center"/>
    </xf>
    <xf numFmtId="171" fontId="24" fillId="90" borderId="6">
      <alignment vertical="center"/>
    </xf>
    <xf numFmtId="331" fontId="7" fillId="101" borderId="6">
      <alignment vertical="center"/>
    </xf>
    <xf numFmtId="171"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101" borderId="6">
      <alignment vertical="center"/>
    </xf>
    <xf numFmtId="171" fontId="7" fillId="101" borderId="6">
      <alignment vertical="center"/>
    </xf>
    <xf numFmtId="0" fontId="24" fillId="101" borderId="6">
      <alignment vertical="center"/>
    </xf>
    <xf numFmtId="171" fontId="7" fillId="101" borderId="6">
      <alignment vertical="center"/>
    </xf>
    <xf numFmtId="0" fontId="24" fillId="101" borderId="6">
      <alignment vertical="center"/>
    </xf>
    <xf numFmtId="171" fontId="7" fillId="101" borderId="6">
      <alignment vertical="center"/>
    </xf>
    <xf numFmtId="0" fontId="24" fillId="101" borderId="6">
      <alignment vertical="center"/>
    </xf>
    <xf numFmtId="171" fontId="7" fillId="101"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101" borderId="6">
      <alignment vertical="center"/>
    </xf>
    <xf numFmtId="171"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101" borderId="6">
      <alignment vertical="center"/>
    </xf>
    <xf numFmtId="171" fontId="24"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1" fontId="7" fillId="101" borderId="6">
      <alignment vertical="center"/>
    </xf>
    <xf numFmtId="17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171" fontId="24" fillId="90" borderId="6">
      <alignment vertical="center"/>
    </xf>
    <xf numFmtId="171" fontId="24" fillId="90" borderId="6">
      <alignment vertical="center"/>
    </xf>
    <xf numFmtId="171" fontId="24" fillId="90" borderId="6">
      <alignment vertical="center"/>
    </xf>
    <xf numFmtId="0" fontId="24" fillId="90" borderId="6">
      <alignment vertical="center"/>
    </xf>
    <xf numFmtId="171" fontId="24" fillId="90" borderId="6">
      <alignment vertical="center"/>
    </xf>
    <xf numFmtId="171" fontId="7" fillId="101" borderId="6">
      <alignment vertical="center"/>
    </xf>
    <xf numFmtId="171" fontId="7" fillId="101" borderId="6">
      <alignment vertical="center"/>
    </xf>
    <xf numFmtId="171" fontId="7" fillId="101" borderId="6">
      <alignment vertical="center"/>
    </xf>
    <xf numFmtId="171" fontId="7" fillId="101" borderId="6">
      <alignment vertical="center"/>
    </xf>
    <xf numFmtId="171" fontId="24" fillId="90" borderId="6">
      <alignment vertical="center"/>
    </xf>
    <xf numFmtId="0" fontId="24" fillId="90" borderId="6">
      <alignment vertical="center"/>
    </xf>
    <xf numFmtId="171" fontId="7" fillId="101" borderId="6">
      <alignment vertical="center"/>
    </xf>
    <xf numFmtId="0" fontId="24" fillId="90" borderId="6">
      <alignment vertical="center"/>
    </xf>
    <xf numFmtId="171" fontId="7" fillId="101" borderId="6">
      <alignment vertical="center"/>
    </xf>
    <xf numFmtId="0"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101" borderId="6">
      <alignment vertical="center"/>
    </xf>
    <xf numFmtId="167"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101" borderId="6">
      <alignment vertical="center"/>
    </xf>
    <xf numFmtId="167" fontId="24"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7" fillId="101" borderId="6">
      <alignment vertical="center"/>
    </xf>
    <xf numFmtId="167" fontId="24" fillId="90" borderId="6">
      <alignment vertical="center"/>
    </xf>
    <xf numFmtId="167" fontId="24" fillId="90" borderId="6">
      <alignment vertical="center"/>
    </xf>
    <xf numFmtId="167" fontId="24" fillId="90" borderId="6">
      <alignment vertical="center"/>
    </xf>
    <xf numFmtId="167"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67" fontId="7" fillId="101" borderId="6">
      <alignment vertical="center"/>
    </xf>
    <xf numFmtId="167"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332" fontId="44" fillId="0" borderId="0">
      <alignment horizontal="right"/>
    </xf>
    <xf numFmtId="40" fontId="9" fillId="0" borderId="0"/>
    <xf numFmtId="1" fontId="192" fillId="46" borderId="0">
      <alignment horizontal="center"/>
    </xf>
    <xf numFmtId="180"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180" fontId="193" fillId="0" borderId="17">
      <alignment horizontal="center"/>
    </xf>
    <xf numFmtId="3" fontId="49" fillId="0" borderId="0" applyFont="0" applyFill="0" applyBorder="0" applyAlignment="0" applyProtection="0"/>
    <xf numFmtId="180" fontId="49" fillId="102" borderId="0" applyNumberFormat="0" applyFont="0" applyBorder="0" applyAlignment="0" applyProtection="0"/>
    <xf numFmtId="333" fontId="44" fillId="46" borderId="0"/>
    <xf numFmtId="334" fontId="20" fillId="46" borderId="0" applyFill="0"/>
    <xf numFmtId="180" fontId="194" fillId="0" borderId="0">
      <alignment horizontal="left" indent="7"/>
    </xf>
    <xf numFmtId="180" fontId="20" fillId="0" borderId="0" applyFill="0">
      <alignment horizontal="left" indent="7"/>
    </xf>
    <xf numFmtId="334" fontId="64" fillId="0" borderId="28">
      <alignment horizontal="right"/>
    </xf>
    <xf numFmtId="180" fontId="64" fillId="0" borderId="26" applyNumberFormat="0" applyFont="0" applyBorder="0">
      <alignment horizontal="right"/>
    </xf>
    <xf numFmtId="180" fontId="195" fillId="0" borderId="0" applyFill="0"/>
    <xf numFmtId="180" fontId="64" fillId="0" borderId="0" applyFill="0"/>
    <xf numFmtId="334" fontId="17" fillId="0" borderId="28" applyFill="0"/>
    <xf numFmtId="180" fontId="9" fillId="0" borderId="0" applyNumberFormat="0" applyFont="0" applyBorder="0" applyAlignment="0"/>
    <xf numFmtId="180" fontId="196" fillId="0" borderId="0" applyFill="0">
      <alignment horizontal="left" indent="1"/>
    </xf>
    <xf numFmtId="180" fontId="17" fillId="0" borderId="0">
      <alignment horizontal="left" indent="1"/>
    </xf>
    <xf numFmtId="334" fontId="64" fillId="0" borderId="28" applyFill="0"/>
    <xf numFmtId="180" fontId="9" fillId="0" borderId="0" applyNumberFormat="0" applyFont="0" applyFill="0" applyBorder="0" applyAlignment="0"/>
    <xf numFmtId="180" fontId="195" fillId="0" borderId="0" applyFill="0">
      <alignment horizontal="left" indent="2"/>
    </xf>
    <xf numFmtId="180" fontId="64" fillId="0" borderId="0" applyFill="0">
      <alignment horizontal="left" indent="2"/>
    </xf>
    <xf numFmtId="334" fontId="17" fillId="0" borderId="28" applyFill="0"/>
    <xf numFmtId="180" fontId="9" fillId="0" borderId="0" applyNumberFormat="0" applyFont="0" applyBorder="0" applyAlignment="0"/>
    <xf numFmtId="180" fontId="196" fillId="0" borderId="0">
      <alignment horizontal="left" indent="3"/>
    </xf>
    <xf numFmtId="180" fontId="17" fillId="0" borderId="0" applyFill="0">
      <alignment horizontal="left" indent="3"/>
    </xf>
    <xf numFmtId="334" fontId="64" fillId="0" borderId="28" applyFill="0"/>
    <xf numFmtId="180" fontId="9" fillId="0" borderId="0" applyNumberFormat="0" applyFont="0" applyBorder="0" applyAlignment="0"/>
    <xf numFmtId="180" fontId="195" fillId="0" borderId="0">
      <alignment horizontal="left" indent="4"/>
    </xf>
    <xf numFmtId="180" fontId="64" fillId="0" borderId="0" applyFill="0">
      <alignment horizontal="left" indent="4"/>
    </xf>
    <xf numFmtId="334" fontId="17" fillId="0" borderId="28" applyFill="0"/>
    <xf numFmtId="180" fontId="9" fillId="0" borderId="0" applyNumberFormat="0" applyFont="0" applyBorder="0" applyAlignment="0"/>
    <xf numFmtId="180" fontId="196" fillId="0" borderId="0">
      <alignment horizontal="left" indent="5"/>
    </xf>
    <xf numFmtId="180" fontId="17" fillId="0" borderId="0" applyFill="0">
      <alignment horizontal="left" indent="5"/>
    </xf>
    <xf numFmtId="334" fontId="64" fillId="0" borderId="28" applyFill="0"/>
    <xf numFmtId="180" fontId="9" fillId="0" borderId="0" applyNumberFormat="0" applyFont="0" applyFill="0" applyBorder="0" applyAlignment="0"/>
    <xf numFmtId="180" fontId="64" fillId="0" borderId="0" applyFill="0">
      <alignment horizontal="left" indent="6"/>
    </xf>
    <xf numFmtId="335" fontId="44" fillId="46" borderId="11">
      <alignment horizontal="right"/>
    </xf>
    <xf numFmtId="0" fontId="197" fillId="0" borderId="0"/>
    <xf numFmtId="14" fontId="198" fillId="0" borderId="0" applyNumberFormat="0" applyFill="0" applyBorder="0" applyAlignment="0" applyProtection="0">
      <alignment horizontal="left"/>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24" fillId="3" borderId="26">
      <alignment vertical="center"/>
      <protection locked="0"/>
    </xf>
    <xf numFmtId="171"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67"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71" fontId="7" fillId="3" borderId="26">
      <alignment vertical="center"/>
      <protection locked="0"/>
    </xf>
    <xf numFmtId="16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24"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337" fontId="7" fillId="3"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67"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 borderId="26">
      <alignment vertical="center"/>
      <protection locked="0"/>
    </xf>
    <xf numFmtId="170" fontId="24"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170" fontId="7" fillId="3" borderId="26">
      <alignment vertical="center"/>
      <protection locked="0"/>
    </xf>
    <xf numFmtId="17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7" fillId="3" borderId="26">
      <alignment vertical="center"/>
      <protection locked="0"/>
    </xf>
    <xf numFmtId="170" fontId="24" fillId="36"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70" fontId="7" fillId="3" borderId="26">
      <alignment vertical="center"/>
      <protection locked="0"/>
    </xf>
    <xf numFmtId="170"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7" fillId="3" borderId="26">
      <alignment vertical="center"/>
      <protection locked="0"/>
    </xf>
    <xf numFmtId="167"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 borderId="26">
      <alignment vertical="center"/>
      <protection locked="0"/>
    </xf>
    <xf numFmtId="171" fontId="24"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24" fillId="36"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7" fillId="3" borderId="26">
      <alignment vertical="center"/>
      <protection locked="0"/>
    </xf>
    <xf numFmtId="171" fontId="24" fillId="36"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0" fontId="9" fillId="0" borderId="0" applyNumberFormat="0" applyFont="0" applyFill="0" applyBorder="0" applyAlignment="0" applyProtection="0"/>
    <xf numFmtId="171" fontId="7" fillId="3" borderId="26">
      <alignment vertical="center"/>
      <protection locked="0"/>
    </xf>
    <xf numFmtId="171" fontId="24" fillId="36" borderId="26">
      <alignment vertical="center"/>
      <protection locked="0"/>
    </xf>
    <xf numFmtId="167"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 borderId="26">
      <alignment vertical="center"/>
      <protection locked="0"/>
    </xf>
    <xf numFmtId="167" fontId="24" fillId="3" borderId="26">
      <alignment vertical="center"/>
      <protection locked="0"/>
    </xf>
    <xf numFmtId="167" fontId="24"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16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6" borderId="26">
      <alignment vertical="center"/>
      <protection locked="0"/>
    </xf>
    <xf numFmtId="167" fontId="24" fillId="36" borderId="26">
      <alignment vertical="center"/>
      <protection locked="0"/>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9"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6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38" borderId="26">
      <alignment vertical="center"/>
    </xf>
    <xf numFmtId="337" fontId="7" fillId="43" borderId="26">
      <alignment vertical="center"/>
    </xf>
    <xf numFmtId="167" fontId="24"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167" fontId="24" fillId="43" borderId="26">
      <alignment vertical="center"/>
    </xf>
    <xf numFmtId="337" fontId="7" fillId="43" borderId="26">
      <alignment vertical="center"/>
    </xf>
    <xf numFmtId="167" fontId="24" fillId="43" borderId="26">
      <alignment vertical="center"/>
    </xf>
    <xf numFmtId="337" fontId="7" fillId="43" borderId="26">
      <alignment vertical="center"/>
    </xf>
    <xf numFmtId="167" fontId="24" fillId="43" borderId="26">
      <alignment vertical="center"/>
    </xf>
    <xf numFmtId="33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43" borderId="26">
      <alignment vertical="center"/>
    </xf>
    <xf numFmtId="331" fontId="24"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43" borderId="26">
      <alignment vertical="center"/>
    </xf>
    <xf numFmtId="331" fontId="24"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38" borderId="26">
      <alignment vertical="center"/>
    </xf>
    <xf numFmtId="337" fontId="7" fillId="43" borderId="26">
      <alignment vertical="center"/>
    </xf>
    <xf numFmtId="171" fontId="24" fillId="43" borderId="26">
      <alignment vertical="center"/>
    </xf>
    <xf numFmtId="337" fontId="7" fillId="43" borderId="26">
      <alignment vertical="center"/>
    </xf>
    <xf numFmtId="171" fontId="24" fillId="43" borderId="26">
      <alignment vertical="center"/>
    </xf>
    <xf numFmtId="337" fontId="7" fillId="43" borderId="26">
      <alignment vertical="center"/>
    </xf>
    <xf numFmtId="171" fontId="24" fillId="43" borderId="26">
      <alignment vertical="center"/>
    </xf>
    <xf numFmtId="337" fontId="7" fillId="43" borderId="26">
      <alignment vertical="center"/>
    </xf>
    <xf numFmtId="171" fontId="24" fillId="43" borderId="26">
      <alignment vertical="center"/>
    </xf>
    <xf numFmtId="337"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9" fillId="0" borderId="0" applyNumberFormat="0" applyFont="0" applyFill="0" applyBorder="0" applyAlignment="0" applyProtection="0"/>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8" borderId="26">
      <alignment vertical="center"/>
    </xf>
    <xf numFmtId="171"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1"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171" fontId="24" fillId="38" borderId="26">
      <alignment vertical="center"/>
    </xf>
    <xf numFmtId="337" fontId="7" fillId="43" borderId="26">
      <alignment vertical="center"/>
    </xf>
    <xf numFmtId="171"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43" borderId="26">
      <alignment vertical="center"/>
    </xf>
    <xf numFmtId="171" fontId="7" fillId="43" borderId="26">
      <alignment vertical="center"/>
    </xf>
    <xf numFmtId="0" fontId="24" fillId="43" borderId="26">
      <alignment vertical="center"/>
    </xf>
    <xf numFmtId="171" fontId="7" fillId="43" borderId="26">
      <alignment vertical="center"/>
    </xf>
    <xf numFmtId="0" fontId="24" fillId="43" borderId="26">
      <alignment vertical="center"/>
    </xf>
    <xf numFmtId="171" fontId="7" fillId="43" borderId="26">
      <alignment vertical="center"/>
    </xf>
    <xf numFmtId="0" fontId="24" fillId="43" borderId="26">
      <alignment vertical="center"/>
    </xf>
    <xf numFmtId="171" fontId="7" fillId="43" borderId="26">
      <alignment vertical="center"/>
    </xf>
    <xf numFmtId="0" fontId="7" fillId="43" borderId="26">
      <alignment vertical="center"/>
    </xf>
    <xf numFmtId="0" fontId="7" fillId="43" borderId="26">
      <alignment vertical="center"/>
    </xf>
    <xf numFmtId="0"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0"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0" fontId="24" fillId="38" borderId="26">
      <alignment vertical="center"/>
    </xf>
    <xf numFmtId="171" fontId="7" fillId="43" borderId="26">
      <alignment vertical="center"/>
    </xf>
    <xf numFmtId="0" fontId="24" fillId="38" borderId="26">
      <alignment vertical="center"/>
    </xf>
    <xf numFmtId="171" fontId="7" fillId="43" borderId="26">
      <alignment vertical="center"/>
    </xf>
    <xf numFmtId="0" fontId="24" fillId="38"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43" borderId="26">
      <alignment vertical="center"/>
    </xf>
    <xf numFmtId="171" fontId="7" fillId="43" borderId="26">
      <alignment vertical="center"/>
    </xf>
    <xf numFmtId="167" fontId="24" fillId="43" borderId="26">
      <alignment vertical="center"/>
    </xf>
    <xf numFmtId="171" fontId="7" fillId="43" borderId="26">
      <alignment vertical="center"/>
    </xf>
    <xf numFmtId="167" fontId="24" fillId="43" borderId="26">
      <alignment vertical="center"/>
    </xf>
    <xf numFmtId="171" fontId="7" fillId="43" borderId="26">
      <alignment vertical="center"/>
    </xf>
    <xf numFmtId="167" fontId="24" fillId="43" borderId="26">
      <alignment vertical="center"/>
    </xf>
    <xf numFmtId="171"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3" borderId="26">
      <alignment vertical="center"/>
    </xf>
    <xf numFmtId="171"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43" borderId="26">
      <alignment vertical="center"/>
    </xf>
    <xf numFmtId="171" fontId="24"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71" fontId="7" fillId="43" borderId="26">
      <alignment vertical="center"/>
    </xf>
    <xf numFmtId="17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71" fontId="24" fillId="38" borderId="26">
      <alignment vertical="center"/>
    </xf>
    <xf numFmtId="171" fontId="24" fillId="38" borderId="26">
      <alignment vertical="center"/>
    </xf>
    <xf numFmtId="171" fontId="24" fillId="38" borderId="26">
      <alignment vertical="center"/>
    </xf>
    <xf numFmtId="167" fontId="24" fillId="38" borderId="26">
      <alignment vertical="center"/>
    </xf>
    <xf numFmtId="171" fontId="24" fillId="38" borderId="26">
      <alignment vertical="center"/>
    </xf>
    <xf numFmtId="171" fontId="7" fillId="43" borderId="26">
      <alignment vertical="center"/>
    </xf>
    <xf numFmtId="171" fontId="7" fillId="43" borderId="26">
      <alignment vertical="center"/>
    </xf>
    <xf numFmtId="171" fontId="7" fillId="43" borderId="26">
      <alignment vertical="center"/>
    </xf>
    <xf numFmtId="171" fontId="7" fillId="43" borderId="26">
      <alignment vertical="center"/>
    </xf>
    <xf numFmtId="171" fontId="24" fillId="38" borderId="26">
      <alignment vertical="center"/>
    </xf>
    <xf numFmtId="167" fontId="24" fillId="38" borderId="26">
      <alignment vertical="center"/>
    </xf>
    <xf numFmtId="171" fontId="7" fillId="43" borderId="26">
      <alignment vertical="center"/>
    </xf>
    <xf numFmtId="167" fontId="24" fillId="38" borderId="26">
      <alignment vertical="center"/>
    </xf>
    <xf numFmtId="171" fontId="7" fillId="43"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24" fillId="38"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3" borderId="26">
      <alignment vertical="center"/>
    </xf>
    <xf numFmtId="167" fontId="24"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38" borderId="26">
      <alignment vertical="center"/>
    </xf>
    <xf numFmtId="167" fontId="24" fillId="43" borderId="26">
      <alignment vertical="center"/>
    </xf>
    <xf numFmtId="167" fontId="24"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167" fontId="7" fillId="43" borderId="26">
      <alignment vertical="center"/>
    </xf>
    <xf numFmtId="16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8" borderId="26">
      <alignment vertical="center"/>
    </xf>
    <xf numFmtId="167" fontId="7" fillId="44"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44" borderId="26">
      <alignment horizontal="right" vertical="center"/>
      <protection locked="0"/>
    </xf>
    <xf numFmtId="331" fontId="24"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44" borderId="26">
      <alignment horizontal="right" vertical="center"/>
      <protection locked="0"/>
    </xf>
    <xf numFmtId="331" fontId="24"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331" fontId="7" fillId="44" borderId="26">
      <alignment horizontal="right" vertical="center"/>
      <protection locked="0"/>
    </xf>
    <xf numFmtId="171"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0"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171"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44" borderId="26">
      <alignment horizontal="right" vertical="center"/>
      <protection locked="0"/>
    </xf>
    <xf numFmtId="171" fontId="24"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71" fontId="7" fillId="44" borderId="26">
      <alignment horizontal="right" vertical="center"/>
      <protection locked="0"/>
    </xf>
    <xf numFmtId="17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71" fontId="24" fillId="39" borderId="26">
      <alignment horizontal="right" vertical="center"/>
      <protection locked="0"/>
    </xf>
    <xf numFmtId="167" fontId="24" fillId="39" borderId="26">
      <alignment horizontal="right" vertical="center"/>
      <protection locked="0"/>
    </xf>
    <xf numFmtId="171" fontId="24" fillId="39"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7" fillId="44" borderId="26">
      <alignment horizontal="right" vertical="center"/>
      <protection locked="0"/>
    </xf>
    <xf numFmtId="171" fontId="24" fillId="39"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71"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39" borderId="26">
      <alignment horizontal="right" vertical="center"/>
      <protection locked="0"/>
    </xf>
    <xf numFmtId="167" fontId="24" fillId="44" borderId="26">
      <alignment horizontal="right" vertical="center"/>
      <protection locked="0"/>
    </xf>
    <xf numFmtId="167" fontId="24"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167" fontId="7" fillId="44" borderId="26">
      <alignment horizontal="right" vertical="center"/>
      <protection locked="0"/>
    </xf>
    <xf numFmtId="167"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67" fontId="24" fillId="39" borderId="26">
      <alignment horizontal="right" vertical="center"/>
      <protection locked="0"/>
    </xf>
    <xf numFmtId="336" fontId="24" fillId="0" borderId="0">
      <protection locked="0"/>
    </xf>
    <xf numFmtId="338" fontId="199" fillId="0" borderId="0"/>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protection locked="0"/>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0"/>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protection locked="0"/>
    </xf>
    <xf numFmtId="180" fontId="200" fillId="0" borderId="45">
      <protection locked="0"/>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80" fontId="200" fillId="0" borderId="45">
      <protection locked="0"/>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alignment horizontal="centerContinuous"/>
    </xf>
    <xf numFmtId="180" fontId="200" fillId="0" borderId="45">
      <alignment horizontal="centerContinuous"/>
    </xf>
    <xf numFmtId="180" fontId="200" fillId="0" borderId="45">
      <protection locked="0"/>
    </xf>
    <xf numFmtId="180" fontId="200" fillId="0" borderId="45">
      <alignment horizontal="centerContinuous"/>
    </xf>
    <xf numFmtId="180" fontId="200" fillId="0" borderId="45">
      <alignment horizontal="centerContinuous"/>
    </xf>
    <xf numFmtId="180" fontId="200" fillId="0" borderId="45">
      <alignment horizontal="centerContinuous"/>
    </xf>
    <xf numFmtId="193" fontId="200" fillId="0" borderId="0"/>
    <xf numFmtId="180" fontId="200" fillId="0" borderId="45">
      <protection locked="0"/>
    </xf>
    <xf numFmtId="180" fontId="200" fillId="0" borderId="45">
      <protection locked="0"/>
    </xf>
    <xf numFmtId="180" fontId="201" fillId="0" borderId="46">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9" fillId="45"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202"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4" fontId="203" fillId="45"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4" fontId="203" fillId="103" borderId="0" applyNumberFormat="0" applyProtection="0">
      <alignment horizontal="left" vertical="center" indent="1"/>
    </xf>
    <xf numFmtId="4" fontId="203" fillId="103" borderId="0" applyNumberFormat="0" applyProtection="0">
      <alignment horizontal="left" vertical="center" indent="1"/>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203" fillId="104"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203" fillId="89"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203" fillId="86"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203" fillId="38"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203" fillId="90"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203" fillId="37"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203" fillId="91"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203" fillId="105"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203" fillId="97"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19" fillId="106" borderId="4" applyNumberFormat="0" applyProtection="0">
      <alignment horizontal="left" vertical="center" indent="1"/>
    </xf>
    <xf numFmtId="4" fontId="19" fillId="106" borderId="4" applyNumberFormat="0" applyProtection="0">
      <alignment horizontal="left" vertical="center" indent="1"/>
    </xf>
    <xf numFmtId="4" fontId="19" fillId="40" borderId="0" applyNumberFormat="0" applyProtection="0">
      <alignment horizontal="left" vertical="center" indent="1"/>
    </xf>
    <xf numFmtId="4" fontId="19" fillId="40" borderId="0" applyNumberFormat="0" applyProtection="0">
      <alignment horizontal="left" vertical="center" indent="1"/>
    </xf>
    <xf numFmtId="4" fontId="19" fillId="103" borderId="0" applyNumberFormat="0" applyProtection="0">
      <alignment horizontal="left" vertical="center" indent="1"/>
    </xf>
    <xf numFmtId="4" fontId="19" fillId="103" borderId="0" applyNumberFormat="0" applyProtection="0">
      <alignment horizontal="left" vertical="center" indent="1"/>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203" fillId="40"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18" fillId="30" borderId="0" applyNumberFormat="0" applyProtection="0">
      <alignment horizontal="left" vertical="center" indent="1"/>
    </xf>
    <xf numFmtId="4" fontId="53" fillId="30" borderId="47" applyNumberFormat="0" applyProtection="0">
      <alignment horizontal="left" vertical="center" indent="1"/>
    </xf>
    <xf numFmtId="4" fontId="18" fillId="19" borderId="0" applyNumberFormat="0" applyProtection="0">
      <alignment horizontal="left" vertical="center" indent="1"/>
    </xf>
    <xf numFmtId="4" fontId="53" fillId="19" borderId="47"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53" fillId="61" borderId="48" applyNumberFormat="0" applyProtection="0">
      <alignment horizontal="left" vertical="center"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53"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53" fillId="83" borderId="48" applyNumberFormat="0" applyProtection="0">
      <alignment horizontal="left" vertical="center"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53"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53" fillId="32" borderId="48" applyNumberFormat="0" applyProtection="0">
      <alignment horizontal="left" vertical="center"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53"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53" fillId="30" borderId="48" applyNumberFormat="0" applyProtection="0">
      <alignment horizontal="left" vertical="center"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53" fillId="30" borderId="3" applyNumberFormat="0" applyProtection="0">
      <alignment horizontal="left" vertical="top" indent="1"/>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53" fillId="33" borderId="49" applyNumberFormat="0">
      <protection locked="0"/>
    </xf>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3" fillId="107"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204"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4" fontId="19" fillId="40" borderId="51"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3" fillId="107"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204"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4" fontId="19" fillId="40"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180" fontId="53" fillId="109" borderId="6"/>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05" fillId="107" borderId="3" applyNumberFormat="0" applyProtection="0">
      <alignment horizontal="right" vertical="center"/>
    </xf>
    <xf numFmtId="38" fontId="206" fillId="0" borderId="52">
      <alignment horizontal="center"/>
    </xf>
    <xf numFmtId="180" fontId="207" fillId="110" borderId="0"/>
    <xf numFmtId="180" fontId="78" fillId="0" borderId="0"/>
    <xf numFmtId="38" fontId="49" fillId="0" borderId="0" applyFont="0" applyFill="0" applyBorder="0" applyAlignment="0" applyProtection="0"/>
    <xf numFmtId="40" fontId="146" fillId="0" borderId="0" applyFont="0" applyFill="0" applyBorder="0" applyAlignment="0" applyProtection="0"/>
    <xf numFmtId="317" fontId="55" fillId="111" borderId="0" applyFont="0"/>
    <xf numFmtId="180" fontId="208" fillId="0" borderId="0"/>
    <xf numFmtId="0" fontId="9" fillId="0" borderId="0" applyNumberFormat="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 fontId="9" fillId="0" borderId="0"/>
    <xf numFmtId="180" fontId="49" fillId="0" borderId="0">
      <alignment textRotation="90"/>
    </xf>
    <xf numFmtId="0" fontId="98" fillId="81" borderId="0" applyAlignment="0" applyProtection="0">
      <alignment horizontal="right" vertical="center"/>
    </xf>
    <xf numFmtId="190" fontId="58" fillId="0" borderId="0">
      <alignment vertical="center"/>
    </xf>
    <xf numFmtId="0" fontId="9" fillId="112" borderId="0"/>
    <xf numFmtId="339" fontId="18" fillId="0" borderId="0" applyFill="0" applyBorder="0" applyAlignment="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0" fontId="9" fillId="0" borderId="0" applyFont="0" applyFill="0" applyBorder="0" applyAlignment="0" applyProtection="0"/>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38" fontId="9" fillId="0" borderId="0" applyFont="0" applyFill="0" applyBorder="0" applyAlignment="0" applyProtection="0"/>
    <xf numFmtId="180" fontId="9" fillId="0" borderId="0">
      <alignment vertical="top"/>
    </xf>
    <xf numFmtId="180" fontId="210" fillId="50" borderId="0" applyNumberFormat="0" applyProtection="0">
      <alignment horizontal="center" vertical="center"/>
    </xf>
    <xf numFmtId="4" fontId="18" fillId="50" borderId="0" applyProtection="0">
      <alignment horizontal="center" vertical="center"/>
    </xf>
    <xf numFmtId="180" fontId="211" fillId="50" borderId="0" applyNumberFormat="0" applyProtection="0">
      <alignment horizontal="center" vertical="center"/>
    </xf>
    <xf numFmtId="4" fontId="20" fillId="50" borderId="0" applyProtection="0">
      <alignment horizontal="center" vertical="center"/>
    </xf>
    <xf numFmtId="180" fontId="212" fillId="113" borderId="0" applyNumberFormat="0" applyProtection="0">
      <alignment horizontal="center" vertical="center"/>
    </xf>
    <xf numFmtId="4" fontId="22" fillId="113" borderId="0" applyProtection="0">
      <alignment horizontal="center" vertical="center"/>
    </xf>
    <xf numFmtId="180" fontId="209" fillId="50" borderId="0" applyNumberFormat="0" applyProtection="0">
      <alignment horizontal="center" vertical="center"/>
    </xf>
    <xf numFmtId="4" fontId="213" fillId="50" borderId="0" applyProtection="0">
      <alignment horizontal="center" vertical="center"/>
    </xf>
    <xf numFmtId="180" fontId="214" fillId="114" borderId="0" applyNumberFormat="0" applyProtection="0">
      <alignment horizontal="center" vertical="center"/>
    </xf>
    <xf numFmtId="4" fontId="61" fillId="114" borderId="0" applyProtection="0">
      <alignment horizontal="center" vertical="center"/>
    </xf>
    <xf numFmtId="180" fontId="16" fillId="50" borderId="0" applyNumberFormat="0" applyProtection="0">
      <alignment horizontal="center" vertical="center" wrapText="1"/>
    </xf>
    <xf numFmtId="180" fontId="17" fillId="50" borderId="0" applyNumberFormat="0" applyProtection="0">
      <alignment horizontal="center" vertical="center" wrapText="1"/>
    </xf>
    <xf numFmtId="180" fontId="141" fillId="113" borderId="0" applyNumberFormat="0" applyProtection="0">
      <alignment horizontal="center" vertical="center" wrapText="1"/>
    </xf>
    <xf numFmtId="180" fontId="215" fillId="50" borderId="0" applyNumberFormat="0" applyProtection="0">
      <alignment horizontal="center" vertical="center" wrapText="1"/>
    </xf>
    <xf numFmtId="180" fontId="16" fillId="50" borderId="0" applyNumberFormat="0" applyProtection="0">
      <alignment horizontal="center" vertical="center" wrapText="1"/>
    </xf>
    <xf numFmtId="4" fontId="216" fillId="50" borderId="0" applyProtection="0">
      <alignment horizontal="center" vertical="top" wrapText="1"/>
    </xf>
    <xf numFmtId="180" fontId="17" fillId="50" borderId="0" applyNumberFormat="0" applyProtection="0">
      <alignment horizontal="center" vertical="center" wrapText="1"/>
    </xf>
    <xf numFmtId="4" fontId="217" fillId="50" borderId="0" applyProtection="0">
      <alignment horizontal="center" vertical="top" wrapText="1"/>
    </xf>
    <xf numFmtId="180" fontId="141" fillId="113" borderId="0" applyNumberFormat="0" applyProtection="0">
      <alignment horizontal="center" vertical="center" wrapText="1"/>
    </xf>
    <xf numFmtId="4" fontId="218" fillId="113" borderId="0" applyProtection="0">
      <alignment horizontal="center" vertical="top" wrapText="1"/>
    </xf>
    <xf numFmtId="180" fontId="215" fillId="50" borderId="0" applyNumberFormat="0" applyProtection="0">
      <alignment horizontal="center" vertical="center" wrapText="1"/>
    </xf>
    <xf numFmtId="4" fontId="219" fillId="50" borderId="0" applyProtection="0">
      <alignment horizontal="center" vertical="top" wrapText="1"/>
    </xf>
    <xf numFmtId="180" fontId="187" fillId="114" borderId="0" applyNumberFormat="0" applyProtection="0">
      <alignment horizontal="center" vertical="center" wrapText="1"/>
    </xf>
    <xf numFmtId="4" fontId="220" fillId="114" borderId="0" applyProtection="0">
      <alignment horizontal="center" vertical="top" wrapText="1"/>
    </xf>
    <xf numFmtId="180" fontId="16" fillId="104" borderId="0" applyNumberFormat="0" applyProtection="0">
      <alignment horizontal="center" vertical="center" wrapText="1"/>
    </xf>
    <xf numFmtId="4" fontId="216" fillId="104" borderId="0" applyProtection="0">
      <alignment horizontal="center" vertical="top" wrapText="1"/>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80" fontId="221" fillId="0" borderId="0"/>
    <xf numFmtId="180" fontId="222" fillId="40" borderId="0"/>
    <xf numFmtId="180" fontId="223" fillId="0" borderId="0">
      <alignment horizontal="left" vertical="center"/>
    </xf>
    <xf numFmtId="252" fontId="78" fillId="0" borderId="0"/>
    <xf numFmtId="180" fontId="107" fillId="0" borderId="0"/>
    <xf numFmtId="180" fontId="78" fillId="0" borderId="0">
      <alignment horizontal="center"/>
    </xf>
    <xf numFmtId="37" fontId="64" fillId="0" borderId="53" applyNumberFormat="0"/>
    <xf numFmtId="40" fontId="9" fillId="0" borderId="0" applyBorder="0">
      <alignment horizontal="right"/>
    </xf>
    <xf numFmtId="37" fontId="64" fillId="0" borderId="53" applyNumberFormat="0"/>
    <xf numFmtId="40" fontId="224" fillId="0" borderId="0" applyBorder="0">
      <alignment horizontal="right"/>
    </xf>
    <xf numFmtId="0" fontId="225" fillId="0" borderId="5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16" fillId="46" borderId="6">
      <protection locked="0"/>
    </xf>
    <xf numFmtId="0" fontId="216" fillId="46" borderId="6">
      <protection locked="0"/>
    </xf>
    <xf numFmtId="180" fontId="226" fillId="0" borderId="0" applyBorder="0" applyProtection="0">
      <alignment vertical="center"/>
    </xf>
    <xf numFmtId="180" fontId="226" fillId="0" borderId="9" applyBorder="0" applyProtection="0">
      <alignment horizontal="right" vertical="center"/>
    </xf>
    <xf numFmtId="180" fontId="227" fillId="115" borderId="0" applyBorder="0" applyProtection="0">
      <alignment horizontal="centerContinuous" vertical="center"/>
    </xf>
    <xf numFmtId="180" fontId="227" fillId="114" borderId="9" applyBorder="0" applyProtection="0">
      <alignment horizontal="centerContinuous" vertical="center"/>
    </xf>
    <xf numFmtId="180" fontId="228" fillId="0" borderId="0"/>
    <xf numFmtId="180" fontId="169" fillId="0" borderId="0"/>
    <xf numFmtId="180" fontId="229" fillId="0" borderId="0" applyFill="0" applyBorder="0" applyProtection="0">
      <alignment horizontal="left"/>
    </xf>
    <xf numFmtId="180" fontId="114" fillId="0" borderId="10" applyFill="0" applyBorder="0" applyProtection="0">
      <alignment horizontal="left" vertical="top"/>
    </xf>
    <xf numFmtId="180" fontId="230" fillId="0" borderId="0">
      <alignment horizontal="centerContinuous"/>
    </xf>
    <xf numFmtId="49" fontId="231" fillId="0" borderId="0"/>
    <xf numFmtId="49" fontId="41" fillId="0" borderId="0" applyFont="0" applyFill="0" applyBorder="0" applyAlignment="0" applyProtection="0"/>
    <xf numFmtId="180" fontId="232" fillId="0" borderId="0"/>
    <xf numFmtId="49" fontId="41" fillId="0" borderId="0" applyFont="0" applyFill="0" applyBorder="0" applyAlignment="0" applyProtection="0"/>
    <xf numFmtId="180" fontId="233" fillId="0" borderId="0"/>
    <xf numFmtId="0" fontId="93" fillId="83" borderId="0" applyAlignment="0" applyProtection="0"/>
    <xf numFmtId="0" fontId="53" fillId="83" borderId="0" applyAlignment="0" applyProtection="0">
      <alignment horizontal="left"/>
    </xf>
    <xf numFmtId="0" fontId="53" fillId="83" borderId="0" applyAlignment="0" applyProtection="0">
      <alignment horizontal="left" indent="1"/>
    </xf>
    <xf numFmtId="0" fontId="53" fillId="83" borderId="0" applyAlignment="0" applyProtection="0">
      <alignment horizontal="left" vertical="center" indent="2"/>
    </xf>
    <xf numFmtId="340" fontId="78" fillId="0" borderId="0" applyFont="0" applyFill="0" applyBorder="0" applyAlignment="0" applyProtection="0"/>
    <xf numFmtId="0" fontId="234" fillId="0" borderId="0">
      <alignment horizontal="center"/>
    </xf>
    <xf numFmtId="15" fontId="234" fillId="0" borderId="0">
      <alignment horizontal="center"/>
    </xf>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35"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9" fontId="235" fillId="0" borderId="0" applyNumberFormat="0" applyFill="0" applyBorder="0" applyAlignment="0" applyProtection="0"/>
    <xf numFmtId="0" fontId="9" fillId="0" borderId="0" applyNumberFormat="0" applyFont="0" applyFill="0" applyBorder="0" applyAlignment="0" applyProtection="0"/>
    <xf numFmtId="180" fontId="236" fillId="36" borderId="0">
      <alignment horizontal="right"/>
    </xf>
    <xf numFmtId="173" fontId="182" fillId="0" borderId="0"/>
    <xf numFmtId="180" fontId="237" fillId="0" borderId="0"/>
    <xf numFmtId="341" fontId="238" fillId="0" borderId="0"/>
    <xf numFmtId="193" fontId="9" fillId="0" borderId="53" applyNumberFormat="0" applyFont="0" applyFill="0" applyAlignment="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210"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0" fontId="64" fillId="0" borderId="5" applyFill="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6"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9" fontId="239" fillId="0" borderId="56" applyNumberFormat="0" applyFill="0" applyAlignment="0" applyProtection="0"/>
    <xf numFmtId="189" fontId="239" fillId="0" borderId="56" applyNumberFormat="0" applyFill="0" applyAlignment="0" applyProtection="0"/>
    <xf numFmtId="0" fontId="9" fillId="0" borderId="0" applyNumberFormat="0" applyFont="0" applyFill="0" applyBorder="0" applyAlignment="0" applyProtection="0"/>
    <xf numFmtId="37" fontId="64" fillId="0" borderId="57" applyNumberFormat="0" applyFill="0"/>
    <xf numFmtId="315" fontId="92" fillId="0" borderId="58" applyAlignment="0"/>
    <xf numFmtId="316" fontId="92" fillId="0" borderId="58" applyAlignment="0"/>
    <xf numFmtId="173" fontId="51" fillId="0" borderId="58"/>
    <xf numFmtId="342" fontId="54" fillId="0" borderId="0" applyFont="0" applyFill="0" applyBorder="0" applyAlignment="0" applyProtection="0">
      <alignment horizontal="right"/>
    </xf>
    <xf numFmtId="180" fontId="240" fillId="0" borderId="0">
      <alignment horizontal="fill"/>
    </xf>
    <xf numFmtId="37" fontId="53" fillId="45" borderId="0" applyNumberFormat="0" applyBorder="0" applyAlignment="0" applyProtection="0"/>
    <xf numFmtId="37" fontId="53" fillId="0" borderId="0"/>
    <xf numFmtId="37" fontId="53" fillId="46" borderId="0" applyNumberFormat="0" applyBorder="0" applyAlignment="0" applyProtection="0"/>
    <xf numFmtId="3" fontId="132" fillId="0" borderId="33" applyProtection="0"/>
    <xf numFmtId="4" fontId="51" fillId="0" borderId="0">
      <protection locked="0"/>
    </xf>
    <xf numFmtId="343" fontId="192" fillId="46" borderId="10" applyBorder="0">
      <alignment horizontal="right" vertical="center"/>
      <protection locked="0"/>
    </xf>
    <xf numFmtId="180" fontId="9" fillId="0" borderId="0">
      <alignment vertical="top"/>
    </xf>
    <xf numFmtId="180" fontId="241" fillId="0" borderId="0" applyFont="0" applyFill="0" applyBorder="0" applyAlignment="0" applyProtection="0"/>
    <xf numFmtId="245" fontId="117" fillId="0" borderId="0" applyFont="0" applyFill="0" applyBorder="0" applyAlignment="0" applyProtection="0"/>
    <xf numFmtId="344" fontId="117" fillId="0" borderId="0" applyFont="0" applyFill="0" applyBorder="0" applyAlignment="0" applyProtection="0"/>
    <xf numFmtId="345" fontId="117" fillId="0" borderId="0" applyFont="0" applyFill="0" applyBorder="0" applyAlignment="0" applyProtection="0"/>
    <xf numFmtId="204" fontId="53" fillId="0" borderId="0"/>
    <xf numFmtId="180" fontId="242" fillId="0" borderId="0"/>
    <xf numFmtId="346" fontId="9" fillId="0" borderId="0" applyFont="0" applyFill="0" applyBorder="0" applyAlignment="0" applyProtection="0"/>
    <xf numFmtId="256" fontId="9" fillId="0" borderId="0" applyFont="0" applyFill="0" applyBorder="0" applyAlignment="0" applyProtection="0"/>
    <xf numFmtId="0" fontId="24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3" fillId="0" borderId="0" applyNumberFormat="0" applyFill="0" applyBorder="0" applyAlignment="0" applyProtection="0"/>
    <xf numFmtId="0" fontId="9" fillId="34" borderId="0" applyNumberFormat="0" applyFont="0" applyBorder="0" applyAlignment="0" applyProtection="0"/>
    <xf numFmtId="0" fontId="9" fillId="0" borderId="0"/>
    <xf numFmtId="0" fontId="9" fillId="0" borderId="0"/>
    <xf numFmtId="167" fontId="7" fillId="43" borderId="26">
      <alignment vertical="center"/>
    </xf>
    <xf numFmtId="0" fontId="10" fillId="0" borderId="0"/>
    <xf numFmtId="0" fontId="12" fillId="0" borderId="0"/>
    <xf numFmtId="167" fontId="7" fillId="3" borderId="26">
      <alignment vertical="center"/>
      <protection locked="0"/>
    </xf>
    <xf numFmtId="0" fontId="12" fillId="0" borderId="0"/>
    <xf numFmtId="0" fontId="28" fillId="0" borderId="0"/>
    <xf numFmtId="168" fontId="266" fillId="0" borderId="0" applyFill="0" applyBorder="0">
      <alignment vertical="center"/>
    </xf>
    <xf numFmtId="10" fontId="36" fillId="0" borderId="0" applyFont="0" applyFill="0" applyBorder="0" applyAlignment="0" applyProtection="0">
      <alignment vertical="center"/>
    </xf>
    <xf numFmtId="164" fontId="7" fillId="0" borderId="0" applyFont="0" applyFill="0" applyBorder="0" applyAlignment="0" applyProtection="0"/>
    <xf numFmtId="164" fontId="6" fillId="0" borderId="0" applyFont="0" applyFill="0" applyBorder="0" applyAlignment="0" applyProtection="0"/>
    <xf numFmtId="171" fontId="7" fillId="101" borderId="26">
      <alignment vertical="center"/>
    </xf>
    <xf numFmtId="10" fontId="36" fillId="0" borderId="0" applyFont="0" applyFill="0" applyBorder="0" applyAlignment="0" applyProtection="0">
      <alignment vertical="center"/>
    </xf>
    <xf numFmtId="350" fontId="9" fillId="0" borderId="0"/>
    <xf numFmtId="350" fontId="9" fillId="0" borderId="0"/>
    <xf numFmtId="350" fontId="12" fillId="0" borderId="0"/>
    <xf numFmtId="350" fontId="9"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2" fillId="0" borderId="0"/>
    <xf numFmtId="350" fontId="12" fillId="0" borderId="0"/>
    <xf numFmtId="350" fontId="12" fillId="0" borderId="0"/>
    <xf numFmtId="350" fontId="9" fillId="0" borderId="0"/>
    <xf numFmtId="350" fontId="12" fillId="0" borderId="0"/>
    <xf numFmtId="350" fontId="9" fillId="0" borderId="0"/>
    <xf numFmtId="350" fontId="12"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48"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48" fillId="0" borderId="0"/>
    <xf numFmtId="350" fontId="9" fillId="0" borderId="0" applyFont="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lignment vertical="center"/>
    </xf>
    <xf numFmtId="350" fontId="12" fillId="0" borderId="0"/>
    <xf numFmtId="350" fontId="12" fillId="0" borderId="0"/>
    <xf numFmtId="350" fontId="12" fillId="0" borderId="0"/>
    <xf numFmtId="350" fontId="12" fillId="0" borderId="0"/>
    <xf numFmtId="350" fontId="9" fillId="0" borderId="0">
      <alignment vertical="center"/>
    </xf>
    <xf numFmtId="350" fontId="9" fillId="0" borderId="0">
      <alignment vertical="center"/>
    </xf>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12" fillId="0" borderId="0">
      <alignment vertical="justify"/>
    </xf>
    <xf numFmtId="350" fontId="18" fillId="30" borderId="0" applyNumberFormat="0" applyBorder="0" applyAlignment="0" applyProtection="0"/>
    <xf numFmtId="350" fontId="18" fillId="30" borderId="0" applyNumberFormat="0" applyBorder="0" applyAlignment="0" applyProtection="0"/>
    <xf numFmtId="350" fontId="18" fillId="19" borderId="0" applyNumberFormat="0" applyBorder="0" applyAlignment="0" applyProtection="0"/>
    <xf numFmtId="350" fontId="18" fillId="19" borderId="0" applyNumberFormat="0" applyBorder="0" applyAlignment="0" applyProtection="0"/>
    <xf numFmtId="350" fontId="18" fillId="27" borderId="0" applyNumberFormat="0" applyBorder="0" applyAlignment="0" applyProtection="0"/>
    <xf numFmtId="350" fontId="18" fillId="27" borderId="0" applyNumberFormat="0" applyBorder="0" applyAlignment="0" applyProtection="0"/>
    <xf numFmtId="350" fontId="18" fillId="120" borderId="0" applyNumberFormat="0" applyBorder="0" applyAlignment="0" applyProtection="0"/>
    <xf numFmtId="350" fontId="18" fillId="120" borderId="0" applyNumberFormat="0" applyBorder="0" applyAlignment="0" applyProtection="0"/>
    <xf numFmtId="350" fontId="18" fillId="30" borderId="0" applyNumberFormat="0" applyBorder="0" applyAlignment="0" applyProtection="0"/>
    <xf numFmtId="350" fontId="18" fillId="30" borderId="0" applyNumberFormat="0" applyBorder="0" applyAlignment="0" applyProtection="0"/>
    <xf numFmtId="350" fontId="18" fillId="60" borderId="0" applyNumberFormat="0" applyBorder="0" applyAlignment="0" applyProtection="0"/>
    <xf numFmtId="350" fontId="18" fillId="60" borderId="0" applyNumberFormat="0" applyBorder="0" applyAlignment="0" applyProtection="0"/>
    <xf numFmtId="350" fontId="18" fillId="61" borderId="0" applyNumberFormat="0" applyBorder="0" applyAlignment="0" applyProtection="0"/>
    <xf numFmtId="350" fontId="18" fillId="61" borderId="0" applyNumberFormat="0" applyBorder="0" applyAlignment="0" applyProtection="0"/>
    <xf numFmtId="350" fontId="18" fillId="19" borderId="0" applyNumberFormat="0" applyBorder="0" applyAlignment="0" applyProtection="0"/>
    <xf numFmtId="350" fontId="18" fillId="19" borderId="0" applyNumberFormat="0" applyBorder="0" applyAlignment="0" applyProtection="0"/>
    <xf numFmtId="350" fontId="18" fillId="26" borderId="0" applyNumberFormat="0" applyBorder="0" applyAlignment="0" applyProtection="0"/>
    <xf numFmtId="350" fontId="18" fillId="26" borderId="0" applyNumberFormat="0" applyBorder="0" applyAlignment="0" applyProtection="0"/>
    <xf numFmtId="350" fontId="18" fillId="121" borderId="0" applyNumberFormat="0" applyBorder="0" applyAlignment="0" applyProtection="0"/>
    <xf numFmtId="350" fontId="18" fillId="121" borderId="0" applyNumberFormat="0" applyBorder="0" applyAlignment="0" applyProtection="0"/>
    <xf numFmtId="350" fontId="18" fillId="31" borderId="0" applyNumberFormat="0" applyBorder="0" applyAlignment="0" applyProtection="0"/>
    <xf numFmtId="350" fontId="18" fillId="31" borderId="0" applyNumberFormat="0" applyBorder="0" applyAlignment="0" applyProtection="0"/>
    <xf numFmtId="350" fontId="18" fillId="60" borderId="0" applyNumberFormat="0" applyBorder="0" applyAlignment="0" applyProtection="0"/>
    <xf numFmtId="350" fontId="18" fillId="60" borderId="0" applyNumberFormat="0" applyBorder="0" applyAlignment="0" applyProtection="0"/>
    <xf numFmtId="350" fontId="61" fillId="122" borderId="0" applyNumberFormat="0" applyBorder="0" applyAlignment="0" applyProtection="0"/>
    <xf numFmtId="350" fontId="61" fillId="122" borderId="0" applyNumberFormat="0" applyBorder="0" applyAlignment="0" applyProtection="0"/>
    <xf numFmtId="350" fontId="61" fillId="19" borderId="0" applyNumberFormat="0" applyBorder="0" applyAlignment="0" applyProtection="0"/>
    <xf numFmtId="350" fontId="61" fillId="19" borderId="0" applyNumberFormat="0" applyBorder="0" applyAlignment="0" applyProtection="0"/>
    <xf numFmtId="350" fontId="61" fillId="26" borderId="0" applyNumberFormat="0" applyBorder="0" applyAlignment="0" applyProtection="0"/>
    <xf numFmtId="350" fontId="61" fillId="26" borderId="0" applyNumberFormat="0" applyBorder="0" applyAlignment="0" applyProtection="0"/>
    <xf numFmtId="350" fontId="61" fillId="121" borderId="0" applyNumberFormat="0" applyBorder="0" applyAlignment="0" applyProtection="0"/>
    <xf numFmtId="350" fontId="61" fillId="121" borderId="0" applyNumberFormat="0" applyBorder="0" applyAlignment="0" applyProtection="0"/>
    <xf numFmtId="350" fontId="61" fillId="122" borderId="0" applyNumberFormat="0" applyBorder="0" applyAlignment="0" applyProtection="0"/>
    <xf numFmtId="350" fontId="61" fillId="122" borderId="0" applyNumberFormat="0" applyBorder="0" applyAlignment="0" applyProtection="0"/>
    <xf numFmtId="350" fontId="61" fillId="23" borderId="0" applyNumberFormat="0" applyBorder="0" applyAlignment="0" applyProtection="0"/>
    <xf numFmtId="350" fontId="61" fillId="23" borderId="0" applyNumberFormat="0" applyBorder="0" applyAlignment="0" applyProtection="0"/>
    <xf numFmtId="350" fontId="13" fillId="65" borderId="0" applyNumberFormat="0" applyBorder="0" applyAlignment="0" applyProtection="0"/>
    <xf numFmtId="350" fontId="13" fillId="12" borderId="0" applyNumberFormat="0" applyBorder="0" applyAlignment="0" applyProtection="0"/>
    <xf numFmtId="350" fontId="14" fillId="123" borderId="0" applyNumberFormat="0" applyBorder="0" applyAlignment="0" applyProtection="0"/>
    <xf numFmtId="350" fontId="14" fillId="66" borderId="0" applyNumberFormat="0" applyBorder="0" applyAlignment="0" applyProtection="0"/>
    <xf numFmtId="350" fontId="14" fillId="66" borderId="0" applyNumberFormat="0" applyBorder="0" applyAlignment="0" applyProtection="0"/>
    <xf numFmtId="350" fontId="13" fillId="68" borderId="0" applyNumberFormat="0" applyBorder="0" applyAlignment="0" applyProtection="0"/>
    <xf numFmtId="350" fontId="13" fillId="11" borderId="0" applyNumberFormat="0" applyBorder="0" applyAlignment="0" applyProtection="0"/>
    <xf numFmtId="350" fontId="14" fillId="8" borderId="0" applyNumberFormat="0" applyBorder="0" applyAlignment="0" applyProtection="0"/>
    <xf numFmtId="350" fontId="14" fillId="69" borderId="0" applyNumberFormat="0" applyBorder="0" applyAlignment="0" applyProtection="0"/>
    <xf numFmtId="350" fontId="14" fillId="69" borderId="0" applyNumberFormat="0" applyBorder="0" applyAlignment="0" applyProtection="0"/>
    <xf numFmtId="350" fontId="13" fillId="70" borderId="0" applyNumberFormat="0" applyBorder="0" applyAlignment="0" applyProtection="0"/>
    <xf numFmtId="350" fontId="13" fillId="71" borderId="0" applyNumberFormat="0" applyBorder="0" applyAlignment="0" applyProtection="0"/>
    <xf numFmtId="350" fontId="14" fillId="124" borderId="0" applyNumberFormat="0" applyBorder="0" applyAlignment="0" applyProtection="0"/>
    <xf numFmtId="350" fontId="14" fillId="125" borderId="0" applyNumberFormat="0" applyBorder="0" applyAlignment="0" applyProtection="0"/>
    <xf numFmtId="350" fontId="14" fillId="125" borderId="0" applyNumberFormat="0" applyBorder="0" applyAlignment="0" applyProtection="0"/>
    <xf numFmtId="350" fontId="13" fillId="68" borderId="0" applyNumberFormat="0" applyBorder="0" applyAlignment="0" applyProtection="0"/>
    <xf numFmtId="350" fontId="13" fillId="9" borderId="0" applyNumberFormat="0" applyBorder="0" applyAlignment="0" applyProtection="0"/>
    <xf numFmtId="350" fontId="14" fillId="11" borderId="0" applyNumberFormat="0" applyBorder="0" applyAlignment="0" applyProtection="0"/>
    <xf numFmtId="350" fontId="14" fillId="126" borderId="0" applyNumberFormat="0" applyBorder="0" applyAlignment="0" applyProtection="0"/>
    <xf numFmtId="350" fontId="14" fillId="126" borderId="0" applyNumberFormat="0" applyBorder="0" applyAlignment="0" applyProtection="0"/>
    <xf numFmtId="350" fontId="13" fillId="10" borderId="0" applyNumberFormat="0" applyBorder="0" applyAlignment="0" applyProtection="0"/>
    <xf numFmtId="350" fontId="13" fillId="5" borderId="0" applyNumberFormat="0" applyBorder="0" applyAlignment="0" applyProtection="0"/>
    <xf numFmtId="350" fontId="14" fillId="123" borderId="0" applyNumberFormat="0" applyBorder="0" applyAlignment="0" applyProtection="0"/>
    <xf numFmtId="350" fontId="14" fillId="123" borderId="0" applyNumberFormat="0" applyBorder="0" applyAlignment="0" applyProtection="0"/>
    <xf numFmtId="350" fontId="14" fillId="123" borderId="0" applyNumberFormat="0" applyBorder="0" applyAlignment="0" applyProtection="0"/>
    <xf numFmtId="350" fontId="13" fillId="13" borderId="0" applyNumberFormat="0" applyBorder="0" applyAlignment="0" applyProtection="0"/>
    <xf numFmtId="350" fontId="13" fillId="14" borderId="0" applyNumberFormat="0" applyBorder="0" applyAlignment="0" applyProtection="0"/>
    <xf numFmtId="350" fontId="14" fillId="127" borderId="0" applyNumberFormat="0" applyBorder="0" applyAlignment="0" applyProtection="0"/>
    <xf numFmtId="350" fontId="14" fillId="128" borderId="0" applyNumberFormat="0" applyBorder="0" applyAlignment="0" applyProtection="0"/>
    <xf numFmtId="350" fontId="14" fillId="128" borderId="0" applyNumberFormat="0" applyBorder="0" applyAlignment="0" applyProtection="0"/>
    <xf numFmtId="350" fontId="267" fillId="13" borderId="0" applyNumberFormat="0" applyBorder="0" applyAlignment="0" applyProtection="0"/>
    <xf numFmtId="350" fontId="267" fillId="13" borderId="0" applyNumberFormat="0" applyBorder="0" applyAlignment="0" applyProtection="0"/>
    <xf numFmtId="350" fontId="268" fillId="129" borderId="102" applyNumberFormat="0" applyAlignment="0" applyProtection="0"/>
    <xf numFmtId="350" fontId="268" fillId="129" borderId="102" applyNumberFormat="0" applyAlignment="0" applyProtection="0"/>
    <xf numFmtId="350" fontId="90" fillId="126" borderId="15" applyNumberFormat="0" applyAlignment="0" applyProtection="0"/>
    <xf numFmtId="350" fontId="90" fillId="126" borderId="15" applyNumberFormat="0" applyAlignment="0" applyProtection="0"/>
    <xf numFmtId="37" fontId="64" fillId="0" borderId="78">
      <alignment horizontal="center"/>
    </xf>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350" fontId="15" fillId="130" borderId="0" applyNumberFormat="0" applyBorder="0" applyAlignment="0" applyProtection="0"/>
    <xf numFmtId="350" fontId="15" fillId="131" borderId="0" applyNumberFormat="0" applyBorder="0" applyAlignment="0" applyProtection="0"/>
    <xf numFmtId="350" fontId="15" fillId="17" borderId="0" applyNumberFormat="0" applyBorder="0" applyAlignment="0" applyProtection="0"/>
    <xf numFmtId="350" fontId="49" fillId="0" borderId="0" applyFont="0" applyFill="0" applyBorder="0" applyAlignment="0" applyProtection="0"/>
    <xf numFmtId="350" fontId="269" fillId="0" borderId="0" applyNumberFormat="0" applyFill="0" applyBorder="0" applyAlignment="0" applyProtection="0"/>
    <xf numFmtId="350" fontId="269" fillId="0" borderId="0" applyNumberFormat="0" applyFill="0" applyBorder="0" applyAlignment="0" applyProtection="0"/>
    <xf numFmtId="350" fontId="13" fillId="71" borderId="0" applyNumberFormat="0" applyBorder="0" applyAlignment="0" applyProtection="0"/>
    <xf numFmtId="350" fontId="13" fillId="71" borderId="0" applyNumberForma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122" fillId="0" borderId="29" applyNumberFormat="0" applyFill="0" applyAlignment="0" applyProtection="0"/>
    <xf numFmtId="350" fontId="122" fillId="0" borderId="29" applyNumberFormat="0" applyFill="0" applyAlignment="0" applyProtection="0"/>
    <xf numFmtId="350" fontId="125" fillId="0" borderId="103" applyNumberFormat="0" applyFill="0" applyAlignment="0" applyProtection="0"/>
    <xf numFmtId="350" fontId="125" fillId="0" borderId="103" applyNumberFormat="0" applyFill="0" applyAlignment="0" applyProtection="0"/>
    <xf numFmtId="350" fontId="128" fillId="0" borderId="104" applyNumberFormat="0" applyFill="0" applyAlignment="0" applyProtection="0"/>
    <xf numFmtId="350" fontId="128" fillId="0" borderId="104" applyNumberFormat="0" applyFill="0" applyAlignment="0" applyProtection="0"/>
    <xf numFmtId="350" fontId="128" fillId="0" borderId="0" applyNumberFormat="0" applyFill="0" applyBorder="0" applyAlignment="0" applyProtection="0"/>
    <xf numFmtId="350" fontId="128" fillId="0" borderId="0" applyNumberFormat="0" applyFill="0" applyBorder="0" applyAlignment="0" applyProtection="0"/>
    <xf numFmtId="350" fontId="142" fillId="14" borderId="102" applyNumberFormat="0" applyAlignment="0" applyProtection="0"/>
    <xf numFmtId="350" fontId="142" fillId="14" borderId="102" applyNumberFormat="0" applyAlignment="0" applyProtection="0"/>
    <xf numFmtId="350" fontId="145" fillId="34" borderId="0"/>
    <xf numFmtId="350" fontId="118" fillId="0" borderId="105" applyNumberFormat="0" applyFill="0" applyAlignment="0" applyProtection="0"/>
    <xf numFmtId="350" fontId="118" fillId="0" borderId="105" applyNumberFormat="0" applyFill="0" applyAlignment="0" applyProtection="0"/>
    <xf numFmtId="350" fontId="118" fillId="14" borderId="0" applyNumberFormat="0" applyBorder="0" applyAlignment="0" applyProtection="0"/>
    <xf numFmtId="350" fontId="118" fillId="14" borderId="0" applyNumberFormat="0" applyBorder="0" applyAlignment="0" applyProtection="0"/>
    <xf numFmtId="350" fontId="24" fillId="0" borderId="0"/>
    <xf numFmtId="350" fontId="24" fillId="0" borderId="0"/>
    <xf numFmtId="350" fontId="24" fillId="0" borderId="0"/>
    <xf numFmtId="350" fontId="24" fillId="0" borderId="0"/>
    <xf numFmtId="350" fontId="24" fillId="0" borderId="0"/>
    <xf numFmtId="350" fontId="9" fillId="0" borderId="0"/>
    <xf numFmtId="350" fontId="9" fillId="0" borderId="0"/>
    <xf numFmtId="350" fontId="9" fillId="0" borderId="0"/>
    <xf numFmtId="350" fontId="9" fillId="0" borderId="0"/>
    <xf numFmtId="0" fontId="7" fillId="0" borderId="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3" fillId="0" borderId="0"/>
    <xf numFmtId="350" fontId="13" fillId="0" borderId="0" applyFill="0" applyBorder="0" applyAlignment="0" applyProtection="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7"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28" fillId="0" borderId="0"/>
    <xf numFmtId="350" fontId="6" fillId="0" borderId="0"/>
    <xf numFmtId="350" fontId="9"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6" fillId="0" borderId="0"/>
    <xf numFmtId="350" fontId="6" fillId="0" borderId="0"/>
    <xf numFmtId="350" fontId="6" fillId="0" borderId="0"/>
    <xf numFmtId="350" fontId="6" fillId="0" borderId="0"/>
    <xf numFmtId="350" fontId="6" fillId="0" borderId="0"/>
    <xf numFmtId="350" fontId="6"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6" fillId="0" borderId="0"/>
    <xf numFmtId="350" fontId="6"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13" fillId="0" borderId="0" applyFill="0" applyBorder="0" applyAlignment="0" applyProtection="0"/>
    <xf numFmtId="350" fontId="24"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2" fillId="0" borderId="0">
      <alignment vertical="top"/>
    </xf>
    <xf numFmtId="350" fontId="106" fillId="0" borderId="0" applyFill="0" applyBorder="0">
      <protection locked="0"/>
    </xf>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84" fillId="129" borderId="106" applyNumberFormat="0" applyAlignment="0" applyProtection="0"/>
    <xf numFmtId="350" fontId="184" fillId="129" borderId="10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330" fontId="24" fillId="90" borderId="26">
      <alignment vertical="center"/>
    </xf>
    <xf numFmtId="167" fontId="24" fillId="90" borderId="26">
      <alignment vertical="center"/>
    </xf>
    <xf numFmtId="167" fontId="24" fillId="90" borderId="26">
      <alignment vertical="center"/>
    </xf>
    <xf numFmtId="350" fontId="24" fillId="90" borderId="26">
      <alignment vertical="center"/>
    </xf>
    <xf numFmtId="350" fontId="24" fillId="90" borderId="26">
      <alignment vertical="center"/>
    </xf>
    <xf numFmtId="350" fontId="24" fillId="90" borderId="26">
      <alignment vertical="center"/>
    </xf>
    <xf numFmtId="350" fontId="24" fillId="90" borderId="26">
      <alignment vertical="center"/>
    </xf>
    <xf numFmtId="171" fontId="24" fillId="90" borderId="26">
      <alignment vertical="center"/>
    </xf>
    <xf numFmtId="171" fontId="24" fillId="90" borderId="26">
      <alignment vertical="center"/>
    </xf>
    <xf numFmtId="330" fontId="24" fillId="90" borderId="26">
      <alignment vertical="center"/>
    </xf>
    <xf numFmtId="350" fontId="197" fillId="0" borderId="0"/>
    <xf numFmtId="350" fontId="24" fillId="36" borderId="26">
      <alignment vertical="center"/>
      <protection locked="0"/>
    </xf>
    <xf numFmtId="350" fontId="24" fillId="36" borderId="26">
      <alignment vertical="center"/>
      <protection locked="0"/>
    </xf>
    <xf numFmtId="350" fontId="24" fillId="36" borderId="26">
      <alignment vertical="center"/>
      <protection locked="0"/>
    </xf>
    <xf numFmtId="350" fontId="24" fillId="36" borderId="26">
      <alignment vertical="center"/>
      <protection locked="0"/>
    </xf>
    <xf numFmtId="330" fontId="24" fillId="38" borderId="26">
      <alignment vertical="center"/>
    </xf>
    <xf numFmtId="350" fontId="24" fillId="38" borderId="26">
      <alignment vertical="center"/>
    </xf>
    <xf numFmtId="350" fontId="24" fillId="38" borderId="26">
      <alignment vertical="center"/>
    </xf>
    <xf numFmtId="350" fontId="24" fillId="38" borderId="26">
      <alignment vertical="center"/>
    </xf>
    <xf numFmtId="350" fontId="24" fillId="38" borderId="26">
      <alignment vertical="center"/>
    </xf>
    <xf numFmtId="350" fontId="24" fillId="39" borderId="26">
      <alignment horizontal="right" vertical="center"/>
      <protection locked="0"/>
    </xf>
    <xf numFmtId="350" fontId="24" fillId="39" borderId="26">
      <alignment horizontal="right" vertical="center"/>
      <protection locked="0"/>
    </xf>
    <xf numFmtId="330" fontId="24" fillId="39" borderId="26">
      <alignment horizontal="right" vertical="center"/>
      <protection locked="0"/>
    </xf>
    <xf numFmtId="330" fontId="24" fillId="39" borderId="26">
      <alignment horizontal="right" vertical="center"/>
      <protection locked="0"/>
    </xf>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350" fontId="271" fillId="18" borderId="107" applyNumberFormat="0" applyProtection="0">
      <alignment horizontal="left" vertical="top"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2" borderId="108" applyNumberFormat="0" applyProtection="0">
      <alignment horizontal="right" vertical="center"/>
    </xf>
    <xf numFmtId="4" fontId="53" fillId="23" borderId="102" applyNumberFormat="0" applyProtection="0">
      <alignment horizontal="right" vertical="center"/>
    </xf>
    <xf numFmtId="4" fontId="53" fillId="24" borderId="102" applyNumberFormat="0" applyProtection="0">
      <alignment horizontal="right" vertical="center"/>
    </xf>
    <xf numFmtId="4" fontId="53" fillId="25" borderId="102" applyNumberFormat="0" applyProtection="0">
      <alignment horizontal="right" vertical="center"/>
    </xf>
    <xf numFmtId="4" fontId="53" fillId="26"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29" borderId="108" applyNumberFormat="0" applyProtection="0">
      <alignment horizontal="left" vertical="center" indent="1"/>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19" borderId="102" applyNumberFormat="0" applyProtection="0">
      <alignment horizontal="right" vertical="center"/>
    </xf>
    <xf numFmtId="4" fontId="53" fillId="30" borderId="108" applyNumberFormat="0" applyProtection="0">
      <alignment horizontal="left" vertical="center" indent="1"/>
    </xf>
    <xf numFmtId="4" fontId="53" fillId="19" borderId="108" applyNumberFormat="0" applyProtection="0">
      <alignment horizontal="left" vertical="center" indent="1"/>
    </xf>
    <xf numFmtId="350" fontId="53" fillId="61" borderId="102"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9" fillId="30" borderId="107" applyNumberFormat="0" applyProtection="0">
      <alignment horizontal="left" vertical="center"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3" borderId="49" applyNumberFormat="0">
      <protection locked="0"/>
    </xf>
    <xf numFmtId="350" fontId="9" fillId="33" borderId="26"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93" fillId="31" borderId="109" applyBorder="0"/>
    <xf numFmtId="4" fontId="272" fillId="34" borderId="107" applyNumberFormat="0" applyProtection="0">
      <alignment vertical="center"/>
    </xf>
    <xf numFmtId="4" fontId="270" fillId="36" borderId="26" applyNumberFormat="0" applyProtection="0">
      <alignment vertical="center"/>
    </xf>
    <xf numFmtId="4" fontId="272" fillId="61" borderId="107" applyNumberFormat="0" applyProtection="0">
      <alignment horizontal="left" vertical="center" indent="1"/>
    </xf>
    <xf numFmtId="350" fontId="272" fillId="34" borderId="107" applyNumberFormat="0" applyProtection="0">
      <alignment horizontal="left" vertical="top" indent="1"/>
    </xf>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350" fontId="53" fillId="109" borderId="26"/>
    <xf numFmtId="4" fontId="274" fillId="33" borderId="102" applyNumberFormat="0" applyProtection="0">
      <alignment horizontal="right" vertical="center"/>
    </xf>
    <xf numFmtId="350" fontId="23" fillId="0" borderId="0" applyNumberFormat="0" applyFill="0" applyBorder="0" applyAlignment="0" applyProtection="0"/>
    <xf numFmtId="350" fontId="9" fillId="0" borderId="0" applyFont="0" applyFill="0" applyBorder="0" applyAlignment="0" applyProtection="0"/>
    <xf numFmtId="37" fontId="64" fillId="0" borderId="110" applyNumberFormat="0"/>
    <xf numFmtId="350" fontId="225" fillId="0" borderId="54" applyNumberFormat="0" applyAlignment="0" applyProtection="0"/>
    <xf numFmtId="350" fontId="23" fillId="0" borderId="0" applyNumberFormat="0" applyFill="0" applyBorder="0" applyAlignment="0" applyProtection="0"/>
    <xf numFmtId="350" fontId="23" fillId="0" borderId="0" applyNumberFormat="0" applyFill="0" applyBorder="0" applyAlignment="0" applyProtection="0"/>
    <xf numFmtId="210" fontId="64" fillId="0" borderId="28" applyFill="0"/>
    <xf numFmtId="350" fontId="15" fillId="0" borderId="111" applyNumberFormat="0" applyFill="0" applyAlignment="0" applyProtection="0"/>
    <xf numFmtId="350" fontId="15" fillId="0" borderId="111" applyNumberFormat="0" applyFill="0" applyAlignment="0" applyProtection="0"/>
    <xf numFmtId="350" fontId="275" fillId="0" borderId="0" applyNumberFormat="0" applyFill="0" applyBorder="0" applyAlignment="0" applyProtection="0"/>
    <xf numFmtId="350" fontId="275" fillId="0" borderId="0" applyNumberFormat="0" applyFill="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0"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7" fontId="7" fillId="101" borderId="26">
      <alignment vertical="center"/>
    </xf>
    <xf numFmtId="171" fontId="7" fillId="101" borderId="26">
      <alignment vertical="center"/>
    </xf>
    <xf numFmtId="330" fontId="7" fillId="101" borderId="26">
      <alignment vertical="center"/>
    </xf>
    <xf numFmtId="330" fontId="7" fillId="43" borderId="26">
      <alignment vertical="center"/>
    </xf>
    <xf numFmtId="330" fontId="7" fillId="44" borderId="26">
      <alignment horizontal="right" vertical="center"/>
      <protection locked="0"/>
    </xf>
    <xf numFmtId="0" fontId="12" fillId="0" borderId="0"/>
    <xf numFmtId="0" fontId="12" fillId="0" borderId="0"/>
    <xf numFmtId="0" fontId="12" fillId="0" borderId="0"/>
    <xf numFmtId="0" fontId="12" fillId="0" borderId="0"/>
    <xf numFmtId="0" fontId="12" fillId="0" borderId="0"/>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210" fontId="64" fillId="0" borderId="28" applyFill="0"/>
    <xf numFmtId="0" fontId="12" fillId="0" borderId="0"/>
    <xf numFmtId="0" fontId="12" fillId="0" borderId="0"/>
    <xf numFmtId="164" fontId="7" fillId="0" borderId="0" applyFont="0" applyFill="0" applyBorder="0" applyAlignment="0" applyProtection="0"/>
    <xf numFmtId="0" fontId="12" fillId="0" borderId="0"/>
    <xf numFmtId="350" fontId="53" fillId="30" borderId="107" applyNumberFormat="0" applyProtection="0">
      <alignment horizontal="left" vertical="top" indent="1"/>
    </xf>
    <xf numFmtId="350" fontId="53" fillId="30" borderId="102"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32" borderId="102"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268" fillId="129" borderId="102" applyNumberFormat="0" applyAlignment="0" applyProtection="0"/>
    <xf numFmtId="350" fontId="268" fillId="129"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28" fillId="0" borderId="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84" fillId="129" borderId="106" applyNumberFormat="0" applyAlignment="0" applyProtection="0"/>
    <xf numFmtId="350" fontId="184" fillId="129" borderId="106" applyNumberFormat="0" applyAlignment="0" applyProtection="0"/>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5"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19" borderId="102" applyNumberFormat="0" applyProtection="0">
      <alignment horizontal="right" vertical="center"/>
    </xf>
    <xf numFmtId="350" fontId="53" fillId="61" borderId="102" applyNumberFormat="0" applyProtection="0">
      <alignment horizontal="left" vertical="center" indent="1"/>
    </xf>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350" fontId="271" fillId="18" borderId="107" applyNumberFormat="0" applyProtection="0">
      <alignment horizontal="left" vertical="top"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2" borderId="108" applyNumberFormat="0" applyProtection="0">
      <alignment horizontal="right" vertical="center"/>
    </xf>
    <xf numFmtId="4" fontId="53" fillId="23" borderId="102" applyNumberFormat="0" applyProtection="0">
      <alignment horizontal="right" vertical="center"/>
    </xf>
    <xf numFmtId="4" fontId="53" fillId="24" borderId="102" applyNumberFormat="0" applyProtection="0">
      <alignment horizontal="right" vertical="center"/>
    </xf>
    <xf numFmtId="4" fontId="53" fillId="25" borderId="102" applyNumberFormat="0" applyProtection="0">
      <alignment horizontal="right" vertical="center"/>
    </xf>
    <xf numFmtId="4" fontId="53" fillId="26"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29" borderId="108" applyNumberFormat="0" applyProtection="0">
      <alignment horizontal="left" vertical="center" indent="1"/>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19" borderId="102" applyNumberFormat="0" applyProtection="0">
      <alignment horizontal="right" vertical="center"/>
    </xf>
    <xf numFmtId="4" fontId="53" fillId="30" borderId="108" applyNumberFormat="0" applyProtection="0">
      <alignment horizontal="left" vertical="center" indent="1"/>
    </xf>
    <xf numFmtId="4" fontId="53" fillId="19" borderId="108" applyNumberFormat="0" applyProtection="0">
      <alignment horizontal="left" vertical="center" indent="1"/>
    </xf>
    <xf numFmtId="350" fontId="53" fillId="61" borderId="102"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9" fillId="30" borderId="107" applyNumberFormat="0" applyProtection="0">
      <alignment horizontal="left" vertical="center"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2" borderId="102" applyNumberFormat="0" applyProtection="0">
      <alignment horizontal="left" vertical="center" indent="1"/>
    </xf>
    <xf numFmtId="350" fontId="93" fillId="31" borderId="109" applyBorder="0"/>
    <xf numFmtId="4" fontId="272" fillId="34" borderId="107" applyNumberFormat="0" applyProtection="0">
      <alignment vertical="center"/>
    </xf>
    <xf numFmtId="4" fontId="272" fillId="61" borderId="107" applyNumberFormat="0" applyProtection="0">
      <alignment horizontal="left" vertical="center" indent="1"/>
    </xf>
    <xf numFmtId="350" fontId="272" fillId="34" borderId="107" applyNumberFormat="0" applyProtection="0">
      <alignment horizontal="left" vertical="top" indent="1"/>
    </xf>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4" fontId="274" fillId="33" borderId="102" applyNumberFormat="0" applyProtection="0">
      <alignment horizontal="right" vertical="center"/>
    </xf>
    <xf numFmtId="37" fontId="64" fillId="0" borderId="110" applyNumberFormat="0"/>
    <xf numFmtId="350" fontId="15" fillId="0" borderId="111" applyNumberFormat="0" applyFill="0" applyAlignment="0" applyProtection="0"/>
    <xf numFmtId="350" fontId="15" fillId="0" borderId="111" applyNumberFormat="0" applyFill="0" applyAlignment="0" applyProtection="0"/>
    <xf numFmtId="350" fontId="9" fillId="30" borderId="107" applyNumberFormat="0" applyProtection="0">
      <alignment horizontal="left" vertical="center"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268" fillId="129" borderId="102" applyNumberFormat="0" applyAlignment="0" applyProtection="0"/>
    <xf numFmtId="350" fontId="268" fillId="129" borderId="102" applyNumberFormat="0" applyAlignment="0" applyProtection="0"/>
    <xf numFmtId="4" fontId="53" fillId="23" borderId="102" applyNumberFormat="0" applyProtection="0">
      <alignment horizontal="right" vertical="center"/>
    </xf>
    <xf numFmtId="4" fontId="53" fillId="24" borderId="102" applyNumberFormat="0" applyProtection="0">
      <alignment horizontal="right" vertical="center"/>
    </xf>
    <xf numFmtId="350" fontId="53" fillId="83" borderId="102" applyNumberFormat="0" applyProtection="0">
      <alignment horizontal="left" vertical="center" indent="1"/>
    </xf>
    <xf numFmtId="210" fontId="64" fillId="0" borderId="28" applyFill="0"/>
    <xf numFmtId="4" fontId="53" fillId="26" borderId="102" applyNumberFormat="0" applyProtection="0">
      <alignment horizontal="right" vertical="center"/>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3" fillId="31" borderId="109" applyBorder="0"/>
    <xf numFmtId="4" fontId="272" fillId="34" borderId="107" applyNumberFormat="0" applyProtection="0">
      <alignment vertical="center"/>
    </xf>
    <xf numFmtId="4" fontId="272" fillId="61" borderId="107" applyNumberFormat="0" applyProtection="0">
      <alignment horizontal="left" vertical="center" indent="1"/>
    </xf>
    <xf numFmtId="350" fontId="272" fillId="34" borderId="107" applyNumberFormat="0" applyProtection="0">
      <alignment horizontal="left" vertical="top" indent="1"/>
    </xf>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4" fontId="274" fillId="33" borderId="102" applyNumberFormat="0" applyProtection="0">
      <alignment horizontal="right" vertical="center"/>
    </xf>
    <xf numFmtId="37" fontId="64" fillId="0" borderId="110" applyNumberFormat="0"/>
    <xf numFmtId="350" fontId="15" fillId="0" borderId="111" applyNumberFormat="0" applyFill="0" applyAlignment="0" applyProtection="0"/>
    <xf numFmtId="350" fontId="15" fillId="0" borderId="111" applyNumberFormat="0" applyFill="0" applyAlignment="0" applyProtection="0"/>
    <xf numFmtId="350" fontId="53" fillId="30" borderId="102" applyNumberFormat="0" applyProtection="0">
      <alignment horizontal="left" vertical="center" indent="1"/>
    </xf>
    <xf numFmtId="350" fontId="268" fillId="129" borderId="102" applyNumberFormat="0" applyAlignment="0" applyProtection="0"/>
    <xf numFmtId="350" fontId="268" fillId="129" borderId="102" applyNumberFormat="0" applyAlignment="0" applyProtection="0"/>
    <xf numFmtId="210" fontId="64" fillId="0" borderId="28" applyFill="0"/>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4" fontId="274" fillId="33" borderId="102" applyNumberFormat="0" applyProtection="0">
      <alignment horizontal="right" vertical="center"/>
    </xf>
    <xf numFmtId="350" fontId="268" fillId="129" borderId="102" applyNumberFormat="0" applyAlignment="0" applyProtection="0"/>
    <xf numFmtId="350" fontId="268" fillId="129"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28" fillId="0" borderId="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84" fillId="129" borderId="106" applyNumberFormat="0" applyAlignment="0" applyProtection="0"/>
    <xf numFmtId="350" fontId="184" fillId="129" borderId="106" applyNumberFormat="0" applyAlignment="0" applyProtection="0"/>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350" fontId="271" fillId="18" borderId="107" applyNumberFormat="0" applyProtection="0">
      <alignment horizontal="left" vertical="top"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2" borderId="108" applyNumberFormat="0" applyProtection="0">
      <alignment horizontal="right" vertical="center"/>
    </xf>
    <xf numFmtId="4" fontId="53" fillId="23" borderId="102" applyNumberFormat="0" applyProtection="0">
      <alignment horizontal="right" vertical="center"/>
    </xf>
    <xf numFmtId="4" fontId="53" fillId="24" borderId="102" applyNumberFormat="0" applyProtection="0">
      <alignment horizontal="right" vertical="center"/>
    </xf>
    <xf numFmtId="4" fontId="53" fillId="25" borderId="102" applyNumberFormat="0" applyProtection="0">
      <alignment horizontal="right" vertical="center"/>
    </xf>
    <xf numFmtId="4" fontId="53" fillId="26"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29" borderId="108" applyNumberFormat="0" applyProtection="0">
      <alignment horizontal="left" vertical="center" indent="1"/>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19" borderId="102" applyNumberFormat="0" applyProtection="0">
      <alignment horizontal="right" vertical="center"/>
    </xf>
    <xf numFmtId="4" fontId="53" fillId="30" borderId="108" applyNumberFormat="0" applyProtection="0">
      <alignment horizontal="left" vertical="center" indent="1"/>
    </xf>
    <xf numFmtId="4" fontId="53" fillId="19" borderId="108" applyNumberFormat="0" applyProtection="0">
      <alignment horizontal="left" vertical="center" indent="1"/>
    </xf>
    <xf numFmtId="350" fontId="53" fillId="61" borderId="102"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9" fillId="30" borderId="107" applyNumberFormat="0" applyProtection="0">
      <alignment horizontal="left" vertical="center"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3" fillId="31" borderId="109" applyBorder="0"/>
    <xf numFmtId="4" fontId="272" fillId="34" borderId="107" applyNumberFormat="0" applyProtection="0">
      <alignment vertical="center"/>
    </xf>
    <xf numFmtId="4" fontId="272" fillId="61" borderId="107" applyNumberFormat="0" applyProtection="0">
      <alignment horizontal="left" vertical="center" indent="1"/>
    </xf>
    <xf numFmtId="350" fontId="272" fillId="34" borderId="107" applyNumberFormat="0" applyProtection="0">
      <alignment horizontal="left" vertical="top" indent="1"/>
    </xf>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4" fontId="274" fillId="33" borderId="102" applyNumberFormat="0" applyProtection="0">
      <alignment horizontal="right" vertical="center"/>
    </xf>
    <xf numFmtId="37" fontId="64" fillId="0" borderId="110" applyNumberFormat="0"/>
    <xf numFmtId="350" fontId="15" fillId="0" borderId="111" applyNumberFormat="0" applyFill="0" applyAlignment="0" applyProtection="0"/>
    <xf numFmtId="350" fontId="15" fillId="0" borderId="111" applyNumberFormat="0" applyFill="0" applyAlignment="0" applyProtection="0"/>
    <xf numFmtId="210" fontId="64" fillId="0" borderId="28" applyFill="0"/>
    <xf numFmtId="350" fontId="28" fillId="0" borderId="0"/>
    <xf numFmtId="350" fontId="53" fillId="30" borderId="107" applyNumberFormat="0" applyProtection="0">
      <alignment horizontal="left" vertical="top" indent="1"/>
    </xf>
    <xf numFmtId="350" fontId="53" fillId="30" borderId="102"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32" borderId="102"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268" fillId="129" borderId="102" applyNumberFormat="0" applyAlignment="0" applyProtection="0"/>
    <xf numFmtId="350" fontId="268" fillId="129"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28" fillId="0" borderId="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84" fillId="129" borderId="106" applyNumberFormat="0" applyAlignment="0" applyProtection="0"/>
    <xf numFmtId="350" fontId="184" fillId="129" borderId="106" applyNumberFormat="0" applyAlignment="0" applyProtection="0"/>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5"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19" borderId="102" applyNumberFormat="0" applyProtection="0">
      <alignment horizontal="right" vertical="center"/>
    </xf>
    <xf numFmtId="350" fontId="53" fillId="61" borderId="102" applyNumberFormat="0" applyProtection="0">
      <alignment horizontal="left" vertical="center" indent="1"/>
    </xf>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350" fontId="271" fillId="18" borderId="107" applyNumberFormat="0" applyProtection="0">
      <alignment horizontal="left" vertical="top"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2" borderId="108" applyNumberFormat="0" applyProtection="0">
      <alignment horizontal="right" vertical="center"/>
    </xf>
    <xf numFmtId="4" fontId="53" fillId="23" borderId="102" applyNumberFormat="0" applyProtection="0">
      <alignment horizontal="right" vertical="center"/>
    </xf>
    <xf numFmtId="4" fontId="53" fillId="24" borderId="102" applyNumberFormat="0" applyProtection="0">
      <alignment horizontal="right" vertical="center"/>
    </xf>
    <xf numFmtId="4" fontId="53" fillId="25" borderId="102" applyNumberFormat="0" applyProtection="0">
      <alignment horizontal="right" vertical="center"/>
    </xf>
    <xf numFmtId="4" fontId="53" fillId="26"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29" borderId="108" applyNumberFormat="0" applyProtection="0">
      <alignment horizontal="left" vertical="center" indent="1"/>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19" borderId="102" applyNumberFormat="0" applyProtection="0">
      <alignment horizontal="right" vertical="center"/>
    </xf>
    <xf numFmtId="4" fontId="53" fillId="30" borderId="108" applyNumberFormat="0" applyProtection="0">
      <alignment horizontal="left" vertical="center" indent="1"/>
    </xf>
    <xf numFmtId="4" fontId="53" fillId="19" borderId="108" applyNumberFormat="0" applyProtection="0">
      <alignment horizontal="left" vertical="center" indent="1"/>
    </xf>
    <xf numFmtId="350" fontId="53" fillId="61" borderId="102"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9" fillId="30" borderId="107" applyNumberFormat="0" applyProtection="0">
      <alignment horizontal="left" vertical="center"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2" borderId="102" applyNumberFormat="0" applyProtection="0">
      <alignment horizontal="left" vertical="center" indent="1"/>
    </xf>
    <xf numFmtId="350" fontId="93" fillId="31" borderId="109" applyBorder="0"/>
    <xf numFmtId="4" fontId="272" fillId="34" borderId="107" applyNumberFormat="0" applyProtection="0">
      <alignment vertical="center"/>
    </xf>
    <xf numFmtId="4" fontId="272" fillId="61" borderId="107" applyNumberFormat="0" applyProtection="0">
      <alignment horizontal="left" vertical="center" indent="1"/>
    </xf>
    <xf numFmtId="350" fontId="272" fillId="34" borderId="107" applyNumberFormat="0" applyProtection="0">
      <alignment horizontal="left" vertical="top" indent="1"/>
    </xf>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4" fontId="274" fillId="33" borderId="102" applyNumberFormat="0" applyProtection="0">
      <alignment horizontal="right" vertical="center"/>
    </xf>
    <xf numFmtId="37" fontId="64" fillId="0" borderId="110" applyNumberFormat="0"/>
    <xf numFmtId="350" fontId="15" fillId="0" borderId="111" applyNumberFormat="0" applyFill="0" applyAlignment="0" applyProtection="0"/>
    <xf numFmtId="350" fontId="15" fillId="0" borderId="111" applyNumberFormat="0" applyFill="0" applyAlignment="0" applyProtection="0"/>
    <xf numFmtId="350" fontId="9" fillId="30" borderId="107" applyNumberFormat="0" applyProtection="0">
      <alignment horizontal="left" vertical="center"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268" fillId="129" borderId="102" applyNumberFormat="0" applyAlignment="0" applyProtection="0"/>
    <xf numFmtId="350" fontId="268" fillId="129" borderId="102" applyNumberFormat="0" applyAlignment="0" applyProtection="0"/>
    <xf numFmtId="4" fontId="53" fillId="23" borderId="102" applyNumberFormat="0" applyProtection="0">
      <alignment horizontal="right" vertical="center"/>
    </xf>
    <xf numFmtId="4" fontId="53" fillId="24" borderId="102" applyNumberFormat="0" applyProtection="0">
      <alignment horizontal="right" vertical="center"/>
    </xf>
    <xf numFmtId="350" fontId="53" fillId="83" borderId="102" applyNumberFormat="0" applyProtection="0">
      <alignment horizontal="left" vertical="center" indent="1"/>
    </xf>
    <xf numFmtId="210" fontId="64" fillId="0" borderId="28" applyFill="0"/>
    <xf numFmtId="4" fontId="53" fillId="26" borderId="102" applyNumberFormat="0" applyProtection="0">
      <alignment horizontal="right" vertical="center"/>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3" fillId="31" borderId="109" applyBorder="0"/>
    <xf numFmtId="4" fontId="272" fillId="34" borderId="107" applyNumberFormat="0" applyProtection="0">
      <alignment vertical="center"/>
    </xf>
    <xf numFmtId="4" fontId="272" fillId="61" borderId="107" applyNumberFormat="0" applyProtection="0">
      <alignment horizontal="left" vertical="center" indent="1"/>
    </xf>
    <xf numFmtId="350" fontId="272" fillId="34" borderId="107" applyNumberFormat="0" applyProtection="0">
      <alignment horizontal="left" vertical="top" indent="1"/>
    </xf>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4" fontId="274" fillId="33" borderId="102" applyNumberFormat="0" applyProtection="0">
      <alignment horizontal="right" vertical="center"/>
    </xf>
    <xf numFmtId="37" fontId="64" fillId="0" borderId="110" applyNumberFormat="0"/>
    <xf numFmtId="350" fontId="15" fillId="0" borderId="111" applyNumberFormat="0" applyFill="0" applyAlignment="0" applyProtection="0"/>
    <xf numFmtId="350" fontId="15" fillId="0" borderId="111" applyNumberFormat="0" applyFill="0" applyAlignment="0" applyProtection="0"/>
    <xf numFmtId="350" fontId="53" fillId="30" borderId="102" applyNumberFormat="0" applyProtection="0">
      <alignment horizontal="left" vertical="center" indent="1"/>
    </xf>
    <xf numFmtId="350" fontId="268" fillId="129" borderId="102" applyNumberFormat="0" applyAlignment="0" applyProtection="0"/>
    <xf numFmtId="350" fontId="268" fillId="129" borderId="102" applyNumberFormat="0" applyAlignment="0" applyProtection="0"/>
    <xf numFmtId="210" fontId="64" fillId="0" borderId="28" applyFill="0"/>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4" fontId="274" fillId="33" borderId="102" applyNumberFormat="0" applyProtection="0">
      <alignment horizontal="right" vertical="center"/>
    </xf>
    <xf numFmtId="350" fontId="53" fillId="32" borderId="107" applyNumberFormat="0" applyProtection="0">
      <alignment horizontal="left" vertical="top" indent="1"/>
    </xf>
    <xf numFmtId="4" fontId="272" fillId="61" borderId="107" applyNumberFormat="0" applyProtection="0">
      <alignment horizontal="left" vertical="center" indent="1"/>
    </xf>
    <xf numFmtId="4" fontId="272" fillId="34" borderId="107" applyNumberFormat="0" applyProtection="0">
      <alignment vertical="center"/>
    </xf>
    <xf numFmtId="350" fontId="9" fillId="32" borderId="107" applyNumberFormat="0" applyProtection="0">
      <alignment horizontal="left" vertical="top" indent="1"/>
    </xf>
    <xf numFmtId="350" fontId="53" fillId="32" borderId="102" applyNumberFormat="0" applyProtection="0">
      <alignment horizontal="left" vertical="center" indent="1"/>
    </xf>
    <xf numFmtId="350" fontId="53" fillId="31" borderId="107" applyNumberFormat="0" applyProtection="0">
      <alignment horizontal="left" vertical="top" indent="1"/>
    </xf>
    <xf numFmtId="350" fontId="53" fillId="13" borderId="102" applyNumberFormat="0" applyFont="0" applyAlignment="0" applyProtection="0"/>
    <xf numFmtId="350" fontId="53" fillId="30" borderId="107" applyNumberFormat="0" applyProtection="0">
      <alignment horizontal="left" vertical="top" indent="1"/>
    </xf>
    <xf numFmtId="350" fontId="53" fillId="19" borderId="107" applyNumberFormat="0" applyProtection="0">
      <alignment horizontal="left" vertical="top" indent="1"/>
    </xf>
    <xf numFmtId="350" fontId="268" fillId="129" borderId="102" applyNumberFormat="0" applyAlignment="0" applyProtection="0"/>
    <xf numFmtId="350" fontId="15" fillId="0" borderId="111" applyNumberFormat="0" applyFill="0" applyAlignment="0" applyProtection="0"/>
    <xf numFmtId="350" fontId="15" fillId="0" borderId="111" applyNumberFormat="0" applyFill="0" applyAlignment="0" applyProtection="0"/>
    <xf numFmtId="37" fontId="64" fillId="0" borderId="110" applyNumberFormat="0"/>
    <xf numFmtId="4" fontId="274" fillId="33" borderId="102" applyNumberFormat="0" applyProtection="0">
      <alignment horizontal="right" vertical="center"/>
    </xf>
    <xf numFmtId="4" fontId="273" fillId="35" borderId="108" applyNumberFormat="0" applyProtection="0">
      <alignment horizontal="left" vertical="center" indent="1"/>
    </xf>
    <xf numFmtId="350" fontId="272" fillId="19" borderId="107" applyNumberFormat="0" applyProtection="0">
      <alignment horizontal="left" vertical="top" indent="1"/>
    </xf>
    <xf numFmtId="4" fontId="53" fillId="64" borderId="102" applyNumberFormat="0" applyProtection="0">
      <alignment horizontal="left" vertical="center"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28" fillId="0" borderId="0"/>
    <xf numFmtId="350" fontId="142" fillId="14" borderId="102" applyNumberFormat="0" applyAlignment="0" applyProtection="0"/>
    <xf numFmtId="350" fontId="142" fillId="14" borderId="102" applyNumberFormat="0" applyAlignment="0" applyProtection="0"/>
    <xf numFmtId="350" fontId="268" fillId="129" borderId="102" applyNumberFormat="0" applyAlignment="0" applyProtection="0"/>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9" fillId="19" borderId="107" applyNumberFormat="0" applyProtection="0">
      <alignment horizontal="left" vertical="top" indent="1"/>
    </xf>
    <xf numFmtId="350" fontId="53" fillId="31" borderId="107" applyNumberFormat="0" applyProtection="0">
      <alignment horizontal="left" vertical="top" indent="1"/>
    </xf>
    <xf numFmtId="350" fontId="93" fillId="31" borderId="109" applyBorder="0"/>
    <xf numFmtId="350" fontId="53" fillId="13" borderId="102" applyNumberFormat="0" applyFont="0" applyAlignment="0" applyProtection="0"/>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272" fillId="19" borderId="107" applyNumberFormat="0" applyProtection="0">
      <alignment horizontal="left" vertical="top" indent="1"/>
    </xf>
    <xf numFmtId="350" fontId="53" fillId="30" borderId="102" applyNumberFormat="0" applyProtection="0">
      <alignment horizontal="left" vertical="center" indent="1"/>
    </xf>
    <xf numFmtId="210" fontId="64" fillId="0" borderId="28" applyFill="0"/>
    <xf numFmtId="350" fontId="268" fillId="129" borderId="102" applyNumberFormat="0" applyAlignment="0" applyProtection="0"/>
    <xf numFmtId="350" fontId="268" fillId="129" borderId="102" applyNumberFormat="0" applyAlignment="0" applyProtection="0"/>
    <xf numFmtId="350" fontId="53" fillId="31" borderId="107" applyNumberFormat="0" applyProtection="0">
      <alignment horizontal="left" vertical="top" indent="1"/>
    </xf>
    <xf numFmtId="350" fontId="53" fillId="30" borderId="107" applyNumberFormat="0" applyProtection="0">
      <alignment horizontal="left" vertical="top" indent="1"/>
    </xf>
    <xf numFmtId="164" fontId="7" fillId="0" borderId="0" applyFont="0" applyFill="0" applyBorder="0" applyAlignment="0" applyProtection="0"/>
    <xf numFmtId="350" fontId="53" fillId="30" borderId="107" applyNumberFormat="0" applyProtection="0">
      <alignment horizontal="left" vertical="top" indent="1"/>
    </xf>
    <xf numFmtId="164" fontId="6" fillId="0" borderId="0" applyFont="0" applyFill="0" applyBorder="0" applyAlignment="0" applyProtection="0"/>
    <xf numFmtId="350" fontId="93" fillId="31" borderId="109" applyBorder="0"/>
    <xf numFmtId="4" fontId="53" fillId="24" borderId="102" applyNumberFormat="0" applyProtection="0">
      <alignment horizontal="right" vertical="center"/>
    </xf>
    <xf numFmtId="350" fontId="53" fillId="13" borderId="102" applyNumberFormat="0" applyFont="0" applyAlignment="0" applyProtection="0"/>
    <xf numFmtId="4" fontId="53" fillId="19" borderId="108" applyNumberFormat="0" applyProtection="0">
      <alignment horizontal="left" vertical="center" indent="1"/>
    </xf>
    <xf numFmtId="4" fontId="53" fillId="25" borderId="102" applyNumberFormat="0" applyProtection="0">
      <alignment horizontal="right" vertical="center"/>
    </xf>
    <xf numFmtId="350" fontId="53" fillId="61" borderId="102" applyNumberFormat="0" applyProtection="0">
      <alignment horizontal="left" vertical="center" indent="1"/>
    </xf>
    <xf numFmtId="4" fontId="273" fillId="35" borderId="108" applyNumberFormat="0" applyProtection="0">
      <alignment horizontal="left" vertical="center" indent="1"/>
    </xf>
    <xf numFmtId="350" fontId="272" fillId="19" borderId="107" applyNumberFormat="0" applyProtection="0">
      <alignment horizontal="left" vertical="top"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4" fontId="272" fillId="34" borderId="107" applyNumberFormat="0" applyProtection="0">
      <alignment vertical="center"/>
    </xf>
    <xf numFmtId="350" fontId="93" fillId="31" borderId="109" applyBorder="0"/>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210" fontId="64" fillId="0" borderId="28" applyFill="0"/>
    <xf numFmtId="350" fontId="53" fillId="83" borderId="102" applyNumberFormat="0" applyProtection="0">
      <alignment horizontal="left" vertical="center" indent="1"/>
    </xf>
    <xf numFmtId="4" fontId="53" fillId="23" borderId="102" applyNumberFormat="0" applyProtection="0">
      <alignment horizontal="right" vertical="center"/>
    </xf>
    <xf numFmtId="350" fontId="268" fillId="129" borderId="102" applyNumberFormat="0" applyAlignment="0" applyProtection="0"/>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9" fillId="30" borderId="107" applyNumberFormat="0" applyProtection="0">
      <alignment horizontal="left" vertical="center" indent="1"/>
    </xf>
    <xf numFmtId="350" fontId="15" fillId="0" borderId="111" applyNumberFormat="0" applyFill="0" applyAlignment="0" applyProtection="0"/>
    <xf numFmtId="350" fontId="15" fillId="0" borderId="111" applyNumberFormat="0" applyFill="0" applyAlignment="0" applyProtection="0"/>
    <xf numFmtId="37" fontId="64" fillId="0" borderId="110" applyNumberFormat="0"/>
    <xf numFmtId="4" fontId="274" fillId="33" borderId="102" applyNumberFormat="0" applyProtection="0">
      <alignment horizontal="right" vertical="center"/>
    </xf>
    <xf numFmtId="4" fontId="273" fillId="35" borderId="108" applyNumberFormat="0" applyProtection="0">
      <alignment horizontal="left" vertical="center" indent="1"/>
    </xf>
    <xf numFmtId="350" fontId="272" fillId="19" borderId="107" applyNumberFormat="0" applyProtection="0">
      <alignment horizontal="left" vertical="top" indent="1"/>
    </xf>
    <xf numFmtId="4" fontId="53" fillId="64" borderId="102" applyNumberFormat="0" applyProtection="0">
      <alignment horizontal="left" vertical="center"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4" fontId="272" fillId="61" borderId="107" applyNumberFormat="0" applyProtection="0">
      <alignment horizontal="left" vertical="center" indent="1"/>
    </xf>
    <xf numFmtId="4" fontId="272" fillId="34" borderId="107" applyNumberFormat="0" applyProtection="0">
      <alignment vertical="center"/>
    </xf>
    <xf numFmtId="350" fontId="93" fillId="31" borderId="109" applyBorder="0"/>
    <xf numFmtId="350" fontId="53" fillId="32" borderId="102" applyNumberFormat="0" applyProtection="0">
      <alignment horizontal="left" vertical="center"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0" borderId="102"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32" borderId="102"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268" fillId="129" borderId="102" applyNumberFormat="0" applyAlignment="0" applyProtection="0"/>
    <xf numFmtId="350" fontId="268" fillId="129" borderId="102"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84" fillId="129" borderId="106" applyNumberFormat="0" applyAlignment="0" applyProtection="0"/>
    <xf numFmtId="350" fontId="184" fillId="129" borderId="106" applyNumberFormat="0" applyAlignment="0" applyProtection="0"/>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350" fontId="271" fillId="18" borderId="107" applyNumberFormat="0" applyProtection="0">
      <alignment horizontal="left" vertical="top"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2" borderId="108" applyNumberFormat="0" applyProtection="0">
      <alignment horizontal="right" vertical="center"/>
    </xf>
    <xf numFmtId="4" fontId="53" fillId="23" borderId="102" applyNumberFormat="0" applyProtection="0">
      <alignment horizontal="right" vertical="center"/>
    </xf>
    <xf numFmtId="4" fontId="53" fillId="24" borderId="102" applyNumberFormat="0" applyProtection="0">
      <alignment horizontal="right" vertical="center"/>
    </xf>
    <xf numFmtId="4" fontId="53" fillId="25" borderId="102" applyNumberFormat="0" applyProtection="0">
      <alignment horizontal="right" vertical="center"/>
    </xf>
    <xf numFmtId="4" fontId="53" fillId="26"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29" borderId="108" applyNumberFormat="0" applyProtection="0">
      <alignment horizontal="left" vertical="center" indent="1"/>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19" borderId="102" applyNumberFormat="0" applyProtection="0">
      <alignment horizontal="right" vertical="center"/>
    </xf>
    <xf numFmtId="4" fontId="53" fillId="30" borderId="108" applyNumberFormat="0" applyProtection="0">
      <alignment horizontal="left" vertical="center" indent="1"/>
    </xf>
    <xf numFmtId="4" fontId="53" fillId="19" borderId="108" applyNumberFormat="0" applyProtection="0">
      <alignment horizontal="left" vertical="center" indent="1"/>
    </xf>
    <xf numFmtId="350" fontId="53" fillId="61" borderId="102"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272" fillId="19"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0" borderId="102"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32" borderId="102" applyNumberFormat="0" applyProtection="0">
      <alignment horizontal="left" vertical="center" indent="1"/>
    </xf>
    <xf numFmtId="164" fontId="13" fillId="0" borderId="0" applyFont="0" applyFill="0" applyBorder="0" applyAlignment="0" applyProtection="0"/>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164" fontId="13"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350" fontId="53" fillId="31" borderId="107" applyNumberFormat="0" applyProtection="0">
      <alignment horizontal="left" vertical="top" indent="1"/>
    </xf>
    <xf numFmtId="164" fontId="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4" fontId="53" fillId="0" borderId="102" applyNumberFormat="0" applyProtection="0">
      <alignment horizontal="right" vertical="center"/>
    </xf>
    <xf numFmtId="350" fontId="15" fillId="0" borderId="111" applyNumberFormat="0" applyFill="0" applyAlignment="0" applyProtection="0"/>
    <xf numFmtId="350" fontId="15" fillId="0" borderId="111" applyNumberFormat="0" applyFill="0" applyAlignment="0" applyProtection="0"/>
    <xf numFmtId="37" fontId="64" fillId="0" borderId="110" applyNumberFormat="0"/>
    <xf numFmtId="4" fontId="274" fillId="33" borderId="102" applyNumberFormat="0" applyProtection="0">
      <alignment horizontal="right" vertical="center"/>
    </xf>
    <xf numFmtId="4" fontId="273" fillId="35" borderId="108" applyNumberFormat="0" applyProtection="0">
      <alignment horizontal="left" vertical="center" indent="1"/>
    </xf>
    <xf numFmtId="4" fontId="53" fillId="64" borderId="102" applyNumberFormat="0" applyProtection="0">
      <alignment horizontal="left" vertical="center"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4" fontId="272" fillId="61" borderId="107" applyNumberFormat="0" applyProtection="0">
      <alignment horizontal="left" vertical="center" indent="1"/>
    </xf>
    <xf numFmtId="4" fontId="272" fillId="34" borderId="107" applyNumberFormat="0" applyProtection="0">
      <alignment vertical="center"/>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4" fontId="53" fillId="26" borderId="102" applyNumberFormat="0" applyProtection="0">
      <alignment horizontal="right" vertical="center"/>
    </xf>
    <xf numFmtId="210" fontId="64" fillId="0" borderId="28" applyFill="0"/>
    <xf numFmtId="350" fontId="53" fillId="83" borderId="102" applyNumberFormat="0" applyProtection="0">
      <alignment horizontal="left" vertical="center" indent="1"/>
    </xf>
    <xf numFmtId="4" fontId="53" fillId="24" borderId="102" applyNumberFormat="0" applyProtection="0">
      <alignment horizontal="right" vertical="center"/>
    </xf>
    <xf numFmtId="4" fontId="53" fillId="23" borderId="102" applyNumberFormat="0" applyProtection="0">
      <alignment horizontal="right" vertical="center"/>
    </xf>
    <xf numFmtId="350" fontId="268" fillId="129" borderId="102" applyNumberFormat="0" applyAlignment="0" applyProtection="0"/>
    <xf numFmtId="350" fontId="268" fillId="129" borderId="102" applyNumberFormat="0" applyAlignment="0" applyProtection="0"/>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9" fillId="30" borderId="107" applyNumberFormat="0" applyProtection="0">
      <alignment horizontal="left" vertical="center" indent="1"/>
    </xf>
    <xf numFmtId="350" fontId="15" fillId="0" borderId="111" applyNumberFormat="0" applyFill="0" applyAlignment="0" applyProtection="0"/>
    <xf numFmtId="350" fontId="15" fillId="0" borderId="111" applyNumberFormat="0" applyFill="0" applyAlignment="0" applyProtection="0"/>
    <xf numFmtId="37" fontId="64" fillId="0" borderId="110" applyNumberFormat="0"/>
    <xf numFmtId="4" fontId="274" fillId="33" borderId="102" applyNumberFormat="0" applyProtection="0">
      <alignment horizontal="right" vertical="center"/>
    </xf>
    <xf numFmtId="4" fontId="273" fillId="35" borderId="108" applyNumberFormat="0" applyProtection="0">
      <alignment horizontal="left" vertical="center" indent="1"/>
    </xf>
    <xf numFmtId="350" fontId="272" fillId="19" borderId="107" applyNumberFormat="0" applyProtection="0">
      <alignment horizontal="left" vertical="top" indent="1"/>
    </xf>
    <xf numFmtId="4" fontId="53" fillId="64" borderId="102" applyNumberFormat="0" applyProtection="0">
      <alignment horizontal="left" vertical="center"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4" fontId="272" fillId="61" borderId="107" applyNumberFormat="0" applyProtection="0">
      <alignment horizontal="left" vertical="center" indent="1"/>
    </xf>
    <xf numFmtId="4" fontId="272" fillId="34" borderId="107" applyNumberFormat="0" applyProtection="0">
      <alignment vertical="center"/>
    </xf>
    <xf numFmtId="350" fontId="93" fillId="31" borderId="109" applyBorder="0"/>
    <xf numFmtId="350" fontId="53" fillId="32" borderId="102" applyNumberFormat="0" applyProtection="0">
      <alignment horizontal="left" vertical="center"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0" borderId="102"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32" borderId="102"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53" fillId="61" borderId="102" applyNumberFormat="0" applyProtection="0">
      <alignment horizontal="left" vertical="center" indent="1"/>
    </xf>
    <xf numFmtId="4" fontId="53" fillId="19" borderId="102" applyNumberFormat="0" applyProtection="0">
      <alignment horizontal="right" vertical="center"/>
    </xf>
    <xf numFmtId="4" fontId="53" fillId="28" borderId="102" applyNumberFormat="0" applyProtection="0">
      <alignment horizontal="right" vertical="center"/>
    </xf>
    <xf numFmtId="4" fontId="53" fillId="27" borderId="102" applyNumberFormat="0" applyProtection="0">
      <alignment horizontal="right" vertical="center"/>
    </xf>
    <xf numFmtId="4" fontId="53" fillId="25" borderId="102"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142" fillId="14" borderId="102" applyNumberFormat="0" applyAlignment="0" applyProtection="0"/>
    <xf numFmtId="350" fontId="268" fillId="129" borderId="102" applyNumberFormat="0" applyAlignment="0" applyProtection="0"/>
    <xf numFmtId="350" fontId="268" fillId="129" borderId="102"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84" fillId="129" borderId="106" applyNumberFormat="0" applyAlignment="0" applyProtection="0"/>
    <xf numFmtId="350" fontId="184" fillId="129" borderId="106" applyNumberFormat="0" applyAlignment="0" applyProtection="0"/>
    <xf numFmtId="4" fontId="53" fillId="18" borderId="102" applyNumberFormat="0" applyProtection="0">
      <alignment vertical="center"/>
    </xf>
    <xf numFmtId="4" fontId="270" fillId="45" borderId="102" applyNumberFormat="0" applyProtection="0">
      <alignment vertical="center"/>
    </xf>
    <xf numFmtId="4" fontId="53" fillId="45" borderId="102" applyNumberFormat="0" applyProtection="0">
      <alignment horizontal="left" vertical="center" indent="1"/>
    </xf>
    <xf numFmtId="350" fontId="271" fillId="18" borderId="107" applyNumberFormat="0" applyProtection="0">
      <alignment horizontal="left" vertical="top" indent="1"/>
    </xf>
    <xf numFmtId="4" fontId="53" fillId="64" borderId="102" applyNumberFormat="0" applyProtection="0">
      <alignment horizontal="left" vertical="center" indent="1"/>
    </xf>
    <xf numFmtId="4" fontId="53" fillId="20" borderId="102" applyNumberFormat="0" applyProtection="0">
      <alignment horizontal="right" vertical="center"/>
    </xf>
    <xf numFmtId="4" fontId="53" fillId="132" borderId="102" applyNumberFormat="0" applyProtection="0">
      <alignment horizontal="right" vertical="center"/>
    </xf>
    <xf numFmtId="4" fontId="53" fillId="22" borderId="108" applyNumberFormat="0" applyProtection="0">
      <alignment horizontal="right" vertical="center"/>
    </xf>
    <xf numFmtId="4" fontId="53" fillId="23" borderId="102" applyNumberFormat="0" applyProtection="0">
      <alignment horizontal="right" vertical="center"/>
    </xf>
    <xf numFmtId="4" fontId="53" fillId="24" borderId="102" applyNumberFormat="0" applyProtection="0">
      <alignment horizontal="right" vertical="center"/>
    </xf>
    <xf numFmtId="4" fontId="53" fillId="25" borderId="102" applyNumberFormat="0" applyProtection="0">
      <alignment horizontal="right" vertical="center"/>
    </xf>
    <xf numFmtId="4" fontId="53" fillId="26" borderId="102" applyNumberFormat="0" applyProtection="0">
      <alignment horizontal="right" vertical="center"/>
    </xf>
    <xf numFmtId="4" fontId="53" fillId="27" borderId="102" applyNumberFormat="0" applyProtection="0">
      <alignment horizontal="right" vertical="center"/>
    </xf>
    <xf numFmtId="4" fontId="53" fillId="28" borderId="102" applyNumberFormat="0" applyProtection="0">
      <alignment horizontal="right" vertical="center"/>
    </xf>
    <xf numFmtId="4" fontId="53" fillId="29" borderId="108" applyNumberFormat="0" applyProtection="0">
      <alignment horizontal="left" vertical="center" indent="1"/>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19" borderId="102" applyNumberFormat="0" applyProtection="0">
      <alignment horizontal="right" vertical="center"/>
    </xf>
    <xf numFmtId="4" fontId="53" fillId="30" borderId="108" applyNumberFormat="0" applyProtection="0">
      <alignment horizontal="left" vertical="center" indent="1"/>
    </xf>
    <xf numFmtId="4" fontId="53" fillId="19" borderId="108" applyNumberFormat="0" applyProtection="0">
      <alignment horizontal="left" vertical="center" indent="1"/>
    </xf>
    <xf numFmtId="350" fontId="53" fillId="61" borderId="102"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53" fillId="30" borderId="107" applyNumberFormat="0" applyProtection="0">
      <alignment horizontal="left" vertical="top" indent="1"/>
    </xf>
    <xf numFmtId="4" fontId="272" fillId="61" borderId="107" applyNumberFormat="0" applyProtection="0">
      <alignment horizontal="left" vertical="center" indent="1"/>
    </xf>
    <xf numFmtId="210" fontId="64" fillId="0" borderId="28" applyFill="0"/>
    <xf numFmtId="350" fontId="53" fillId="30" borderId="107" applyNumberFormat="0" applyProtection="0">
      <alignment horizontal="left" vertical="top" indent="1"/>
    </xf>
    <xf numFmtId="350" fontId="272" fillId="19" borderId="107" applyNumberFormat="0" applyProtection="0">
      <alignment horizontal="left" vertical="top" indent="1"/>
    </xf>
    <xf numFmtId="350" fontId="53" fillId="32" borderId="107" applyNumberFormat="0" applyProtection="0">
      <alignment horizontal="left" vertical="top" indent="1"/>
    </xf>
    <xf numFmtId="350" fontId="53" fillId="31" borderId="107" applyNumberFormat="0" applyProtection="0">
      <alignment horizontal="left" vertical="top" indent="1"/>
    </xf>
    <xf numFmtId="4" fontId="53" fillId="27" borderId="102" applyNumberFormat="0" applyProtection="0">
      <alignment horizontal="right" vertical="center"/>
    </xf>
    <xf numFmtId="350" fontId="53" fillId="19" borderId="107" applyNumberFormat="0" applyProtection="0">
      <alignment horizontal="left" vertical="top" indent="1"/>
    </xf>
    <xf numFmtId="164" fontId="12" fillId="0" borderId="0" applyFont="0" applyFill="0" applyBorder="0" applyAlignment="0" applyProtection="0"/>
    <xf numFmtId="350" fontId="53" fillId="19" borderId="107" applyNumberFormat="0" applyProtection="0">
      <alignment horizontal="left" vertical="top" indent="1"/>
    </xf>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31" borderId="107" applyNumberFormat="0" applyProtection="0">
      <alignment horizontal="left" vertical="top" indent="1"/>
    </xf>
    <xf numFmtId="4" fontId="53" fillId="64" borderId="102" applyNumberFormat="0" applyProtection="0">
      <alignment horizontal="left" vertical="center" indent="1"/>
    </xf>
    <xf numFmtId="350" fontId="53" fillId="32" borderId="107" applyNumberFormat="0" applyProtection="0">
      <alignment horizontal="left" vertical="top" indent="1"/>
    </xf>
    <xf numFmtId="350" fontId="15" fillId="0" borderId="111" applyNumberFormat="0" applyFill="0" applyAlignment="0" applyProtection="0"/>
    <xf numFmtId="350" fontId="15" fillId="0" borderId="111" applyNumberFormat="0" applyFill="0" applyAlignment="0" applyProtection="0"/>
    <xf numFmtId="4" fontId="53" fillId="28" borderId="102" applyNumberFormat="0" applyProtection="0">
      <alignment horizontal="right" vertical="center"/>
    </xf>
    <xf numFmtId="350" fontId="53" fillId="30" borderId="107" applyNumberFormat="0" applyProtection="0">
      <alignment horizontal="left" vertical="top" indent="1"/>
    </xf>
    <xf numFmtId="37" fontId="64" fillId="0" borderId="110" applyNumberFormat="0"/>
    <xf numFmtId="350" fontId="53" fillId="19" borderId="107" applyNumberFormat="0" applyProtection="0">
      <alignment horizontal="left" vertical="top" indent="1"/>
    </xf>
    <xf numFmtId="350" fontId="271" fillId="18" borderId="107" applyNumberFormat="0" applyProtection="0">
      <alignment horizontal="left" vertical="top" indent="1"/>
    </xf>
    <xf numFmtId="350" fontId="53" fillId="13" borderId="102" applyNumberFormat="0" applyFont="0" applyAlignment="0" applyProtection="0"/>
    <xf numFmtId="4" fontId="274" fillId="33" borderId="102" applyNumberFormat="0" applyProtection="0">
      <alignment horizontal="right" vertical="center"/>
    </xf>
    <xf numFmtId="4" fontId="273" fillId="35" borderId="108" applyNumberFormat="0" applyProtection="0">
      <alignment horizontal="left" vertical="center" indent="1"/>
    </xf>
    <xf numFmtId="350" fontId="272" fillId="19" borderId="107" applyNumberFormat="0" applyProtection="0">
      <alignment horizontal="left" vertical="top" indent="1"/>
    </xf>
    <xf numFmtId="4" fontId="53" fillId="64" borderId="102" applyNumberFormat="0" applyProtection="0">
      <alignment horizontal="left" vertical="center"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4" fontId="272" fillId="61" borderId="107" applyNumberFormat="0" applyProtection="0">
      <alignment horizontal="left" vertical="center" indent="1"/>
    </xf>
    <xf numFmtId="4" fontId="272" fillId="34" borderId="107" applyNumberFormat="0" applyProtection="0">
      <alignment vertical="center"/>
    </xf>
    <xf numFmtId="350" fontId="93" fillId="31" borderId="109" applyBorder="0"/>
    <xf numFmtId="4" fontId="53" fillId="25" borderId="102" applyNumberFormat="0" applyProtection="0">
      <alignment horizontal="right" vertical="center"/>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0" borderId="102"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32" borderId="102"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4" fontId="53" fillId="27" borderId="102" applyNumberFormat="0" applyProtection="0">
      <alignment horizontal="right" vertical="center"/>
    </xf>
    <xf numFmtId="4" fontId="53" fillId="25" borderId="102" applyNumberFormat="0" applyProtection="0">
      <alignment horizontal="right" vertical="center"/>
    </xf>
    <xf numFmtId="350" fontId="184" fillId="129" borderId="106" applyNumberFormat="0" applyAlignment="0" applyProtection="0"/>
    <xf numFmtId="350" fontId="53" fillId="61" borderId="102" applyNumberFormat="0" applyProtection="0">
      <alignment horizontal="left" vertical="center" indent="1"/>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4" fontId="53" fillId="132" borderId="102" applyNumberFormat="0" applyProtection="0">
      <alignment horizontal="right" vertical="center"/>
    </xf>
    <xf numFmtId="350" fontId="53" fillId="13" borderId="102" applyNumberFormat="0" applyFont="0" applyAlignment="0" applyProtection="0"/>
    <xf numFmtId="4" fontId="53" fillId="22" borderId="108" applyNumberFormat="0" applyProtection="0">
      <alignment horizontal="right" vertical="center"/>
    </xf>
    <xf numFmtId="350" fontId="184" fillId="129" borderId="106" applyNumberFormat="0" applyAlignment="0" applyProtection="0"/>
    <xf numFmtId="350" fontId="53" fillId="13" borderId="102" applyNumberFormat="0" applyFont="0" applyAlignment="0" applyProtection="0"/>
    <xf numFmtId="4" fontId="53" fillId="20" borderId="102" applyNumberFormat="0" applyProtection="0">
      <alignment horizontal="right" vertical="center"/>
    </xf>
    <xf numFmtId="4" fontId="53" fillId="18" borderId="102" applyNumberFormat="0" applyProtection="0">
      <alignment vertical="center"/>
    </xf>
    <xf numFmtId="4" fontId="53" fillId="24" borderId="102" applyNumberFormat="0" applyProtection="0">
      <alignment horizontal="right" vertical="center"/>
    </xf>
    <xf numFmtId="4" fontId="270" fillId="45" borderId="102" applyNumberFormat="0" applyProtection="0">
      <alignment vertical="center"/>
    </xf>
    <xf numFmtId="164" fontId="12" fillId="0" borderId="0" applyFont="0" applyFill="0" applyBorder="0" applyAlignment="0" applyProtection="0"/>
    <xf numFmtId="350" fontId="142" fillId="14" borderId="102" applyNumberFormat="0" applyAlignment="0" applyProtection="0"/>
    <xf numFmtId="350" fontId="53" fillId="61" borderId="102" applyNumberFormat="0" applyProtection="0">
      <alignment horizontal="left" vertical="center" indent="1"/>
    </xf>
    <xf numFmtId="350" fontId="53" fillId="13" borderId="102" applyNumberFormat="0" applyFont="0" applyAlignment="0" applyProtection="0"/>
    <xf numFmtId="350" fontId="142" fillId="14" borderId="102" applyNumberFormat="0" applyAlignment="0" applyProtection="0"/>
    <xf numFmtId="4" fontId="270" fillId="45" borderId="102" applyNumberFormat="0" applyProtection="0">
      <alignment vertical="center"/>
    </xf>
    <xf numFmtId="164" fontId="12" fillId="0" borderId="0" applyFont="0" applyFill="0" applyBorder="0" applyAlignment="0" applyProtection="0"/>
    <xf numFmtId="4" fontId="53" fillId="19" borderId="102" applyNumberFormat="0" applyProtection="0">
      <alignment horizontal="right" vertical="center"/>
    </xf>
    <xf numFmtId="4" fontId="53" fillId="18" borderId="102" applyNumberFormat="0" applyProtection="0">
      <alignment vertical="center"/>
    </xf>
    <xf numFmtId="4" fontId="53" fillId="18" borderId="102" applyNumberFormat="0" applyProtection="0">
      <alignment vertical="center"/>
    </xf>
    <xf numFmtId="4" fontId="53" fillId="19" borderId="102" applyNumberFormat="0" applyProtection="0">
      <alignment horizontal="right" vertical="center"/>
    </xf>
    <xf numFmtId="4" fontId="53" fillId="23" borderId="102" applyNumberFormat="0" applyProtection="0">
      <alignment horizontal="right" vertical="center"/>
    </xf>
    <xf numFmtId="350" fontId="184" fillId="129" borderId="106" applyNumberFormat="0" applyAlignment="0" applyProtection="0"/>
    <xf numFmtId="350" fontId="53" fillId="13" borderId="102" applyNumberFormat="0" applyFont="0" applyAlignment="0" applyProtection="0"/>
    <xf numFmtId="4" fontId="53" fillId="132" borderId="102" applyNumberFormat="0" applyProtection="0">
      <alignment horizontal="right" vertical="center"/>
    </xf>
    <xf numFmtId="4" fontId="53" fillId="45" borderId="102" applyNumberFormat="0" applyProtection="0">
      <alignment horizontal="left" vertical="center" indent="1"/>
    </xf>
    <xf numFmtId="350" fontId="53" fillId="32" borderId="102" applyNumberFormat="0" applyProtection="0">
      <alignment horizontal="left" vertical="center" indent="1"/>
    </xf>
    <xf numFmtId="350" fontId="53" fillId="13" borderId="102" applyNumberFormat="0" applyFont="0" applyAlignment="0" applyProtection="0"/>
    <xf numFmtId="350" fontId="93" fillId="31" borderId="109" applyBorder="0"/>
    <xf numFmtId="350" fontId="15" fillId="0" borderId="111" applyNumberFormat="0" applyFill="0" applyAlignment="0" applyProtection="0"/>
    <xf numFmtId="164" fontId="12" fillId="0" borderId="0" applyFont="0" applyFill="0" applyBorder="0" applyAlignment="0" applyProtection="0"/>
    <xf numFmtId="350" fontId="268" fillId="129" borderId="102" applyNumberFormat="0" applyAlignment="0" applyProtection="0"/>
    <xf numFmtId="4" fontId="53" fillId="24" borderId="102" applyNumberFormat="0" applyProtection="0">
      <alignment horizontal="right" vertical="center"/>
    </xf>
    <xf numFmtId="350" fontId="53" fillId="13" borderId="102" applyNumberFormat="0" applyFont="0" applyAlignment="0" applyProtection="0"/>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4" fontId="53" fillId="64" borderId="102" applyNumberFormat="0" applyProtection="0">
      <alignment horizontal="left" vertical="center" indent="1"/>
    </xf>
    <xf numFmtId="350" fontId="272" fillId="19" borderId="107" applyNumberFormat="0" applyProtection="0">
      <alignment horizontal="left" vertical="top" indent="1"/>
    </xf>
    <xf numFmtId="350" fontId="15" fillId="0" borderId="111" applyNumberFormat="0" applyFill="0" applyAlignment="0" applyProtection="0"/>
    <xf numFmtId="350" fontId="53" fillId="13" borderId="102" applyNumberFormat="0" applyFont="0" applyAlignment="0" applyProtection="0"/>
    <xf numFmtId="4" fontId="270" fillId="45" borderId="102" applyNumberFormat="0" applyProtection="0">
      <alignment vertical="center"/>
    </xf>
    <xf numFmtId="350" fontId="53" fillId="83" borderId="102" applyNumberFormat="0" applyProtection="0">
      <alignment horizontal="left" vertical="center" indent="1"/>
    </xf>
    <xf numFmtId="37" fontId="64" fillId="0" borderId="110" applyNumberFormat="0"/>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53" fillId="19" borderId="107" applyNumberFormat="0" applyProtection="0">
      <alignment horizontal="left" vertical="top" indent="1"/>
    </xf>
    <xf numFmtId="350" fontId="9" fillId="32" borderId="107" applyNumberFormat="0" applyProtection="0">
      <alignment horizontal="left" vertical="top" indent="1"/>
    </xf>
    <xf numFmtId="350" fontId="53" fillId="19" borderId="107" applyNumberFormat="0" applyProtection="0">
      <alignment horizontal="left" vertical="top" indent="1"/>
    </xf>
    <xf numFmtId="350" fontId="53" fillId="61" borderId="102" applyNumberFormat="0" applyProtection="0">
      <alignment horizontal="left" vertical="center" indent="1"/>
    </xf>
    <xf numFmtId="4" fontId="53" fillId="28" borderId="102" applyNumberFormat="0" applyProtection="0">
      <alignment horizontal="right" vertical="center"/>
    </xf>
    <xf numFmtId="4" fontId="53" fillId="132" borderId="102" applyNumberFormat="0" applyProtection="0">
      <alignment horizontal="right" vertical="center"/>
    </xf>
    <xf numFmtId="4" fontId="53" fillId="64" borderId="102" applyNumberFormat="0" applyProtection="0">
      <alignment horizontal="left" vertical="center" indent="1"/>
    </xf>
    <xf numFmtId="4" fontId="270" fillId="45" borderId="102" applyNumberFormat="0" applyProtection="0">
      <alignment vertical="center"/>
    </xf>
    <xf numFmtId="4" fontId="274" fillId="33" borderId="102" applyNumberFormat="0" applyProtection="0">
      <alignment horizontal="right" vertical="center"/>
    </xf>
    <xf numFmtId="350" fontId="53" fillId="30" borderId="107" applyNumberFormat="0" applyProtection="0">
      <alignment horizontal="left" vertical="top" indent="1"/>
    </xf>
    <xf numFmtId="350" fontId="53" fillId="30" borderId="107" applyNumberFormat="0" applyProtection="0">
      <alignment horizontal="left" vertical="top" indent="1"/>
    </xf>
    <xf numFmtId="164" fontId="12" fillId="0" borderId="0" applyFont="0" applyFill="0" applyBorder="0" applyAlignment="0" applyProtection="0"/>
    <xf numFmtId="4" fontId="53" fillId="64" borderId="102" applyNumberFormat="0" applyProtection="0">
      <alignment horizontal="left" vertical="center" indent="1"/>
    </xf>
    <xf numFmtId="4" fontId="272" fillId="61" borderId="107" applyNumberFormat="0" applyProtection="0">
      <alignment horizontal="left" vertical="center" indent="1"/>
    </xf>
    <xf numFmtId="4" fontId="53" fillId="26" borderId="102" applyNumberFormat="0" applyProtection="0">
      <alignment horizontal="right" vertical="center"/>
    </xf>
    <xf numFmtId="4" fontId="53" fillId="24" borderId="102" applyNumberFormat="0" applyProtection="0">
      <alignment horizontal="right" vertical="center"/>
    </xf>
    <xf numFmtId="350" fontId="268" fillId="129" borderId="102" applyNumberFormat="0" applyAlignment="0" applyProtection="0"/>
    <xf numFmtId="164" fontId="12" fillId="0" borderId="0" applyFont="0" applyFill="0" applyBorder="0" applyAlignment="0" applyProtection="0"/>
    <xf numFmtId="164" fontId="12" fillId="0" borderId="0" applyFont="0" applyFill="0" applyBorder="0" applyAlignment="0" applyProtection="0"/>
    <xf numFmtId="350" fontId="53" fillId="30" borderId="107" applyNumberFormat="0" applyProtection="0">
      <alignment horizontal="left" vertical="top" indent="1"/>
    </xf>
    <xf numFmtId="4" fontId="270" fillId="45" borderId="102" applyNumberFormat="0" applyProtection="0">
      <alignment vertical="center"/>
    </xf>
    <xf numFmtId="4" fontId="53" fillId="20" borderId="102" applyNumberFormat="0" applyProtection="0">
      <alignment horizontal="right" vertical="center"/>
    </xf>
    <xf numFmtId="350" fontId="53" fillId="61" borderId="102" applyNumberFormat="0" applyProtection="0">
      <alignment horizontal="left" vertical="center" indent="1"/>
    </xf>
    <xf numFmtId="4" fontId="53" fillId="28" borderId="102" applyNumberFormat="0" applyProtection="0">
      <alignment horizontal="right" vertical="center"/>
    </xf>
    <xf numFmtId="4" fontId="53" fillId="25" borderId="102" applyNumberFormat="0" applyProtection="0">
      <alignment horizontal="right" vertical="center"/>
    </xf>
    <xf numFmtId="4" fontId="53" fillId="132" borderId="102" applyNumberFormat="0" applyProtection="0">
      <alignment horizontal="right" vertical="center"/>
    </xf>
    <xf numFmtId="4" fontId="53" fillId="27" borderId="102" applyNumberFormat="0" applyProtection="0">
      <alignment horizontal="right" vertical="center"/>
    </xf>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2" borderId="102" applyNumberFormat="0" applyProtection="0">
      <alignment horizontal="left" vertical="center"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184" fillId="129" borderId="106" applyNumberFormat="0" applyAlignment="0" applyProtection="0"/>
    <xf numFmtId="4" fontId="53" fillId="19" borderId="102" applyNumberFormat="0" applyProtection="0">
      <alignment horizontal="right" vertical="center"/>
    </xf>
    <xf numFmtId="164" fontId="7" fillId="0" borderId="0" applyFont="0" applyFill="0" applyBorder="0" applyAlignment="0" applyProtection="0"/>
    <xf numFmtId="4" fontId="53" fillId="23" borderId="102" applyNumberFormat="0" applyProtection="0">
      <alignment horizontal="right" vertical="center"/>
    </xf>
    <xf numFmtId="350" fontId="9" fillId="19" borderId="107" applyNumberFormat="0" applyProtection="0">
      <alignment horizontal="left" vertical="top" indent="1"/>
    </xf>
    <xf numFmtId="350" fontId="142" fillId="14" borderId="102" applyNumberFormat="0" applyAlignment="0" applyProtection="0"/>
    <xf numFmtId="350" fontId="15" fillId="0" borderId="111" applyNumberFormat="0" applyFill="0" applyAlignment="0" applyProtection="0"/>
    <xf numFmtId="350" fontId="9" fillId="30" borderId="107" applyNumberFormat="0" applyProtection="0">
      <alignment horizontal="left" vertical="top" indent="1"/>
    </xf>
    <xf numFmtId="4" fontId="270" fillId="50" borderId="102" applyNumberFormat="0" applyProtection="0">
      <alignment horizontal="right" vertical="center"/>
    </xf>
    <xf numFmtId="4" fontId="53" fillId="45" borderId="102" applyNumberFormat="0" applyProtection="0">
      <alignment horizontal="left" vertical="center" indent="1"/>
    </xf>
    <xf numFmtId="350" fontId="53" fillId="30" borderId="107" applyNumberFormat="0" applyProtection="0">
      <alignment horizontal="left" vertical="top" indent="1"/>
    </xf>
    <xf numFmtId="4" fontId="53" fillId="64" borderId="102" applyNumberFormat="0" applyProtection="0">
      <alignment horizontal="left" vertical="center" indent="1"/>
    </xf>
    <xf numFmtId="350" fontId="53" fillId="13" borderId="102" applyNumberFormat="0" applyFont="0" applyAlignment="0" applyProtection="0"/>
    <xf numFmtId="350" fontId="53" fillId="13" borderId="102" applyNumberFormat="0" applyFont="0" applyAlignment="0" applyProtection="0"/>
    <xf numFmtId="350" fontId="268" fillId="129" borderId="102" applyNumberFormat="0" applyAlignment="0" applyProtection="0"/>
    <xf numFmtId="350" fontId="142" fillId="14" borderId="102" applyNumberFormat="0" applyAlignment="0" applyProtection="0"/>
    <xf numFmtId="350" fontId="53" fillId="13" borderId="102" applyNumberFormat="0" applyFont="0" applyAlignment="0" applyProtection="0"/>
    <xf numFmtId="350" fontId="184" fillId="129" borderId="106" applyNumberFormat="0" applyAlignment="0" applyProtection="0"/>
    <xf numFmtId="4" fontId="272" fillId="34" borderId="107" applyNumberFormat="0" applyProtection="0">
      <alignment vertical="center"/>
    </xf>
    <xf numFmtId="350" fontId="53" fillId="32" borderId="107" applyNumberFormat="0" applyProtection="0">
      <alignment horizontal="left" vertical="top" indent="1"/>
    </xf>
    <xf numFmtId="350" fontId="268" fillId="129" borderId="102" applyNumberFormat="0" applyAlignment="0" applyProtection="0"/>
    <xf numFmtId="350" fontId="53" fillId="13" borderId="102" applyNumberFormat="0" applyFont="0" applyAlignment="0" applyProtection="0"/>
    <xf numFmtId="4" fontId="53" fillId="0" borderId="102" applyNumberFormat="0" applyProtection="0">
      <alignment horizontal="right" vertical="center"/>
    </xf>
    <xf numFmtId="350" fontId="53" fillId="31" borderId="107" applyNumberFormat="0" applyProtection="0">
      <alignment horizontal="left" vertical="top" indent="1"/>
    </xf>
    <xf numFmtId="350" fontId="53" fillId="30" borderId="107" applyNumberFormat="0" applyProtection="0">
      <alignment horizontal="left" vertical="top" indent="1"/>
    </xf>
    <xf numFmtId="4" fontId="273" fillId="35" borderId="108" applyNumberFormat="0" applyProtection="0">
      <alignment horizontal="left" vertical="center" indent="1"/>
    </xf>
    <xf numFmtId="350" fontId="142" fillId="14" borderId="102" applyNumberFormat="0" applyAlignment="0" applyProtection="0"/>
    <xf numFmtId="350" fontId="53" fillId="19" borderId="107" applyNumberFormat="0" applyProtection="0">
      <alignment horizontal="left" vertical="top" indent="1"/>
    </xf>
    <xf numFmtId="350" fontId="53" fillId="30" borderId="107" applyNumberFormat="0" applyProtection="0">
      <alignment horizontal="left" vertical="top" indent="1"/>
    </xf>
    <xf numFmtId="350" fontId="53" fillId="30" borderId="102" applyNumberFormat="0" applyProtection="0">
      <alignment horizontal="left" vertical="center" indent="1"/>
    </xf>
    <xf numFmtId="4" fontId="53" fillId="20" borderId="102" applyNumberFormat="0" applyProtection="0">
      <alignment horizontal="right" vertical="center"/>
    </xf>
    <xf numFmtId="4" fontId="53" fillId="0" borderId="102" applyNumberFormat="0" applyProtection="0">
      <alignment horizontal="right" vertical="center"/>
    </xf>
    <xf numFmtId="210" fontId="64" fillId="0" borderId="28" applyFill="0"/>
    <xf numFmtId="350" fontId="53" fillId="13" borderId="102" applyNumberFormat="0" applyFont="0" applyAlignment="0" applyProtection="0"/>
    <xf numFmtId="4" fontId="53" fillId="64" borderId="102" applyNumberFormat="0" applyProtection="0">
      <alignment horizontal="left" vertical="center" indent="1"/>
    </xf>
    <xf numFmtId="350" fontId="53" fillId="13" borderId="102" applyNumberFormat="0" applyFont="0" applyAlignment="0" applyProtection="0"/>
    <xf numFmtId="350" fontId="53" fillId="13" borderId="102" applyNumberFormat="0" applyFont="0" applyAlignment="0" applyProtection="0"/>
    <xf numFmtId="350" fontId="53" fillId="31" borderId="107" applyNumberFormat="0" applyProtection="0">
      <alignment horizontal="left" vertical="top"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3" borderId="102" applyNumberFormat="0" applyFont="0" applyAlignment="0" applyProtection="0"/>
    <xf numFmtId="4" fontId="53" fillId="24" borderId="102" applyNumberFormat="0" applyProtection="0">
      <alignment horizontal="right" vertical="center"/>
    </xf>
    <xf numFmtId="350" fontId="53" fillId="32" borderId="107" applyNumberFormat="0" applyProtection="0">
      <alignment horizontal="left" vertical="top" indent="1"/>
    </xf>
    <xf numFmtId="4" fontId="53" fillId="64" borderId="102" applyNumberFormat="0" applyProtection="0">
      <alignment horizontal="left" vertical="center" indent="1"/>
    </xf>
    <xf numFmtId="350" fontId="53" fillId="31" borderId="107" applyNumberFormat="0" applyProtection="0">
      <alignment horizontal="left" vertical="top" indent="1"/>
    </xf>
    <xf numFmtId="350" fontId="268" fillId="129" borderId="102" applyNumberFormat="0" applyAlignment="0" applyProtection="0"/>
    <xf numFmtId="4" fontId="272" fillId="61" borderId="107" applyNumberFormat="0" applyProtection="0">
      <alignment horizontal="left" vertical="center" indent="1"/>
    </xf>
    <xf numFmtId="350" fontId="15" fillId="0" borderId="111" applyNumberFormat="0" applyFill="0" applyAlignment="0" applyProtection="0"/>
    <xf numFmtId="350" fontId="53" fillId="13" borderId="102" applyNumberFormat="0" applyFont="0" applyAlignment="0" applyProtection="0"/>
    <xf numFmtId="350" fontId="53" fillId="31" borderId="107" applyNumberFormat="0" applyProtection="0">
      <alignment horizontal="left" vertical="top" indent="1"/>
    </xf>
    <xf numFmtId="4" fontId="53" fillId="64" borderId="102" applyNumberFormat="0" applyProtection="0">
      <alignment horizontal="left" vertical="center" indent="1"/>
    </xf>
    <xf numFmtId="350" fontId="268" fillId="129" borderId="102" applyNumberFormat="0" applyAlignment="0" applyProtection="0"/>
    <xf numFmtId="4" fontId="274" fillId="33" borderId="102" applyNumberFormat="0" applyProtection="0">
      <alignment horizontal="right" vertical="center"/>
    </xf>
    <xf numFmtId="350" fontId="93" fillId="31" borderId="109" applyBorder="0"/>
    <xf numFmtId="350" fontId="53" fillId="13" borderId="102" applyNumberFormat="0" applyFont="0" applyAlignment="0" applyProtection="0"/>
    <xf numFmtId="4" fontId="53" fillId="64" borderId="102" applyNumberFormat="0" applyProtection="0">
      <alignment horizontal="left" vertical="center"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13" borderId="102" applyNumberFormat="0" applyFont="0" applyAlignment="0" applyProtection="0"/>
    <xf numFmtId="350" fontId="184" fillId="129" borderId="106" applyNumberFormat="0" applyAlignment="0" applyProtection="0"/>
    <xf numFmtId="4" fontId="53" fillId="20" borderId="102" applyNumberFormat="0" applyProtection="0">
      <alignment horizontal="right" vertical="center"/>
    </xf>
    <xf numFmtId="350" fontId="53" fillId="31" borderId="107" applyNumberFormat="0" applyProtection="0">
      <alignment horizontal="left" vertical="top" indent="1"/>
    </xf>
    <xf numFmtId="350" fontId="93" fillId="31" borderId="109" applyBorder="0"/>
    <xf numFmtId="4" fontId="53" fillId="28" borderId="102" applyNumberFormat="0" applyProtection="0">
      <alignment horizontal="right" vertical="center"/>
    </xf>
    <xf numFmtId="350" fontId="53" fillId="31" borderId="107" applyNumberFormat="0" applyProtection="0">
      <alignment horizontal="left" vertical="top" indent="1"/>
    </xf>
    <xf numFmtId="350" fontId="53" fillId="30" borderId="107" applyNumberFormat="0" applyProtection="0">
      <alignment horizontal="left" vertical="top" indent="1"/>
    </xf>
    <xf numFmtId="4" fontId="53" fillId="26" borderId="102" applyNumberFormat="0" applyProtection="0">
      <alignment horizontal="right" vertical="center"/>
    </xf>
    <xf numFmtId="350" fontId="53" fillId="32" borderId="107" applyNumberFormat="0" applyProtection="0">
      <alignment horizontal="left" vertical="top" indent="1"/>
    </xf>
    <xf numFmtId="350" fontId="9" fillId="32" borderId="107" applyNumberFormat="0" applyProtection="0">
      <alignment horizontal="left" vertical="center" indent="1"/>
    </xf>
    <xf numFmtId="4" fontId="53" fillId="0" borderId="102" applyNumberFormat="0" applyProtection="0">
      <alignment horizontal="right" vertical="center"/>
    </xf>
    <xf numFmtId="350" fontId="53" fillId="19" borderId="107" applyNumberFormat="0" applyProtection="0">
      <alignment horizontal="left" vertical="top" indent="1"/>
    </xf>
    <xf numFmtId="350" fontId="268" fillId="129" borderId="102" applyNumberFormat="0" applyAlignment="0" applyProtection="0"/>
    <xf numFmtId="350" fontId="142" fillId="14" borderId="102" applyNumberFormat="0" applyAlignment="0" applyProtection="0"/>
    <xf numFmtId="4" fontId="53" fillId="45" borderId="102" applyNumberFormat="0" applyProtection="0">
      <alignment horizontal="left" vertical="center" indent="1"/>
    </xf>
    <xf numFmtId="4" fontId="272" fillId="61" borderId="107" applyNumberFormat="0" applyProtection="0">
      <alignment horizontal="left" vertical="center" indent="1"/>
    </xf>
    <xf numFmtId="4" fontId="53" fillId="28" borderId="102" applyNumberFormat="0" applyProtection="0">
      <alignment horizontal="right" vertical="center"/>
    </xf>
    <xf numFmtId="4" fontId="270" fillId="50" borderId="102" applyNumberFormat="0" applyProtection="0">
      <alignment horizontal="right" vertical="center"/>
    </xf>
    <xf numFmtId="350" fontId="53" fillId="13" borderId="102" applyNumberFormat="0" applyFont="0" applyAlignment="0" applyProtection="0"/>
    <xf numFmtId="350" fontId="142" fillId="14" borderId="102" applyNumberFormat="0" applyAlignment="0" applyProtection="0"/>
    <xf numFmtId="350" fontId="53" fillId="13" borderId="102" applyNumberFormat="0" applyFont="0" applyAlignment="0" applyProtection="0"/>
    <xf numFmtId="4" fontId="274" fillId="33" borderId="102" applyNumberFormat="0" applyProtection="0">
      <alignment horizontal="right" vertical="center"/>
    </xf>
    <xf numFmtId="350" fontId="268" fillId="129" borderId="102"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4" fontId="53" fillId="0" borderId="102" applyNumberFormat="0" applyProtection="0">
      <alignment horizontal="right" vertical="center"/>
    </xf>
    <xf numFmtId="164" fontId="12" fillId="0" borderId="0" applyFont="0" applyFill="0" applyBorder="0" applyAlignment="0" applyProtection="0"/>
    <xf numFmtId="350" fontId="53" fillId="13" borderId="102" applyNumberFormat="0" applyFont="0" applyAlignment="0" applyProtection="0"/>
    <xf numFmtId="350" fontId="268" fillId="129" borderId="102" applyNumberFormat="0" applyAlignment="0" applyProtection="0"/>
    <xf numFmtId="350" fontId="272" fillId="34" borderId="107" applyNumberFormat="0" applyProtection="0">
      <alignment horizontal="left" vertical="top" indent="1"/>
    </xf>
    <xf numFmtId="350" fontId="9" fillId="30" borderId="107" applyNumberFormat="0" applyProtection="0">
      <alignment horizontal="left" vertical="center" indent="1"/>
    </xf>
    <xf numFmtId="4" fontId="274" fillId="33" borderId="102" applyNumberFormat="0" applyProtection="0">
      <alignment horizontal="right" vertical="center"/>
    </xf>
    <xf numFmtId="350" fontId="53" fillId="30" borderId="102" applyNumberFormat="0" applyProtection="0">
      <alignment horizontal="left" vertical="center" indent="1"/>
    </xf>
    <xf numFmtId="350" fontId="53" fillId="83" borderId="102" applyNumberFormat="0" applyProtection="0">
      <alignment horizontal="left" vertical="center" indent="1"/>
    </xf>
    <xf numFmtId="4" fontId="53" fillId="20" borderId="102" applyNumberFormat="0" applyProtection="0">
      <alignment horizontal="right" vertical="center"/>
    </xf>
    <xf numFmtId="350" fontId="53" fillId="19" borderId="107" applyNumberFormat="0" applyProtection="0">
      <alignment horizontal="left" vertical="top" indent="1"/>
    </xf>
    <xf numFmtId="350" fontId="53" fillId="83" borderId="102" applyNumberFormat="0" applyProtection="0">
      <alignment horizontal="left" vertical="center" indent="1"/>
    </xf>
    <xf numFmtId="350" fontId="53" fillId="13" borderId="102" applyNumberFormat="0" applyFont="0" applyAlignment="0" applyProtection="0"/>
    <xf numFmtId="350" fontId="53" fillId="31" borderId="107" applyNumberFormat="0" applyProtection="0">
      <alignment horizontal="left" vertical="top" indent="1"/>
    </xf>
    <xf numFmtId="350" fontId="53" fillId="30" borderId="107" applyNumberFormat="0" applyProtection="0">
      <alignment horizontal="left" vertical="top" indent="1"/>
    </xf>
    <xf numFmtId="350" fontId="53" fillId="13" borderId="102" applyNumberFormat="0" applyFont="0" applyAlignment="0" applyProtection="0"/>
    <xf numFmtId="4" fontId="53" fillId="23" borderId="102" applyNumberFormat="0" applyProtection="0">
      <alignment horizontal="right" vertical="center"/>
    </xf>
    <xf numFmtId="350" fontId="53" fillId="32" borderId="102" applyNumberFormat="0" applyProtection="0">
      <alignment horizontal="left" vertical="center" indent="1"/>
    </xf>
    <xf numFmtId="350" fontId="53" fillId="30" borderId="107" applyNumberFormat="0" applyProtection="0">
      <alignment horizontal="left" vertical="top" indent="1"/>
    </xf>
    <xf numFmtId="4" fontId="53" fillId="19" borderId="102" applyNumberFormat="0" applyProtection="0">
      <alignment horizontal="right" vertical="center"/>
    </xf>
    <xf numFmtId="350" fontId="272" fillId="34" borderId="107" applyNumberFormat="0" applyProtection="0">
      <alignment horizontal="left" vertical="top" indent="1"/>
    </xf>
    <xf numFmtId="350" fontId="15" fillId="0" borderId="111" applyNumberFormat="0" applyFill="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31" borderId="107" applyNumberFormat="0" applyProtection="0">
      <alignment horizontal="left" vertical="top" indent="1"/>
    </xf>
    <xf numFmtId="350" fontId="53" fillId="30" borderId="107" applyNumberFormat="0" applyProtection="0">
      <alignment horizontal="left" vertical="top" indent="1"/>
    </xf>
    <xf numFmtId="37" fontId="64" fillId="0" borderId="110" applyNumberFormat="0"/>
    <xf numFmtId="350" fontId="53" fillId="19" borderId="107" applyNumberFormat="0" applyProtection="0">
      <alignment horizontal="left" vertical="top" indent="1"/>
    </xf>
    <xf numFmtId="350" fontId="53" fillId="13" borderId="102" applyNumberFormat="0" applyFont="0" applyAlignment="0" applyProtection="0"/>
    <xf numFmtId="350" fontId="53" fillId="30" borderId="107" applyNumberFormat="0" applyProtection="0">
      <alignment horizontal="left" vertical="top" indent="1"/>
    </xf>
    <xf numFmtId="350" fontId="268" fillId="129" borderId="102" applyNumberFormat="0" applyAlignment="0" applyProtection="0"/>
    <xf numFmtId="350" fontId="53" fillId="31" borderId="107" applyNumberFormat="0" applyProtection="0">
      <alignment horizontal="left" vertical="top" indent="1"/>
    </xf>
    <xf numFmtId="350" fontId="53" fillId="32" borderId="107" applyNumberFormat="0" applyProtection="0">
      <alignment horizontal="left" vertical="top" indent="1"/>
    </xf>
    <xf numFmtId="4" fontId="272" fillId="34" borderId="107" applyNumberFormat="0" applyProtection="0">
      <alignment vertical="center"/>
    </xf>
    <xf numFmtId="37" fontId="64" fillId="0" borderId="110" applyNumberFormat="0"/>
    <xf numFmtId="350" fontId="53" fillId="13" borderId="102" applyNumberFormat="0" applyFont="0" applyAlignment="0" applyProtection="0"/>
    <xf numFmtId="350" fontId="53" fillId="31" borderId="107" applyNumberFormat="0" applyProtection="0">
      <alignment horizontal="left" vertical="top" indent="1"/>
    </xf>
    <xf numFmtId="4" fontId="53" fillId="20" borderId="102" applyNumberFormat="0" applyProtection="0">
      <alignment horizontal="right" vertical="center"/>
    </xf>
    <xf numFmtId="350" fontId="142" fillId="14" borderId="102" applyNumberFormat="0" applyAlignment="0" applyProtection="0"/>
    <xf numFmtId="4" fontId="270" fillId="50" borderId="102" applyNumberFormat="0" applyProtection="0">
      <alignment horizontal="right" vertical="center"/>
    </xf>
    <xf numFmtId="350" fontId="53" fillId="31" borderId="107" applyNumberFormat="0" applyProtection="0">
      <alignment horizontal="left" vertical="top" indent="1"/>
    </xf>
    <xf numFmtId="4" fontId="273" fillId="35" borderId="108" applyNumberFormat="0" applyProtection="0">
      <alignment horizontal="left" vertical="center"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4" fontId="53" fillId="30" borderId="108" applyNumberFormat="0" applyProtection="0">
      <alignment horizontal="left" vertical="center" indent="1"/>
    </xf>
    <xf numFmtId="350" fontId="272" fillId="34" borderId="107" applyNumberFormat="0" applyProtection="0">
      <alignment horizontal="left" vertical="top" indent="1"/>
    </xf>
    <xf numFmtId="350" fontId="53" fillId="31" borderId="107" applyNumberFormat="0" applyProtection="0">
      <alignment horizontal="left" vertical="top" indent="1"/>
    </xf>
    <xf numFmtId="4" fontId="53" fillId="18" borderId="102" applyNumberFormat="0" applyProtection="0">
      <alignment vertical="center"/>
    </xf>
    <xf numFmtId="4" fontId="53" fillId="64" borderId="102" applyNumberFormat="0" applyProtection="0">
      <alignment horizontal="left" vertical="center" indent="1"/>
    </xf>
    <xf numFmtId="4" fontId="9" fillId="31" borderId="108" applyNumberFormat="0" applyProtection="0">
      <alignment horizontal="left" vertical="center" indent="1"/>
    </xf>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30" borderId="107" applyNumberFormat="0" applyProtection="0">
      <alignment horizontal="left" vertical="top" indent="1"/>
    </xf>
    <xf numFmtId="4" fontId="272" fillId="61" borderId="107" applyNumberFormat="0" applyProtection="0">
      <alignment horizontal="left" vertical="center" indent="1"/>
    </xf>
    <xf numFmtId="4" fontId="270" fillId="50" borderId="102" applyNumberFormat="0" applyProtection="0">
      <alignment horizontal="right" vertical="center"/>
    </xf>
    <xf numFmtId="350" fontId="53" fillId="13" borderId="102" applyNumberFormat="0" applyFont="0" applyAlignment="0" applyProtection="0"/>
    <xf numFmtId="350" fontId="53" fillId="30" borderId="107" applyNumberFormat="0" applyProtection="0">
      <alignment horizontal="left" vertical="top" indent="1"/>
    </xf>
    <xf numFmtId="350" fontId="53" fillId="19" borderId="107" applyNumberFormat="0" applyProtection="0">
      <alignment horizontal="left" vertical="top" indent="1"/>
    </xf>
    <xf numFmtId="4" fontId="274" fillId="33" borderId="102" applyNumberFormat="0" applyProtection="0">
      <alignment horizontal="right" vertical="center"/>
    </xf>
    <xf numFmtId="37" fontId="64" fillId="0" borderId="110" applyNumberFormat="0"/>
    <xf numFmtId="350" fontId="15" fillId="0" borderId="111" applyNumberFormat="0" applyFill="0" applyAlignment="0" applyProtection="0"/>
    <xf numFmtId="350" fontId="15" fillId="0" borderId="111" applyNumberFormat="0" applyFill="0" applyAlignment="0" applyProtection="0"/>
    <xf numFmtId="350" fontId="53" fillId="30" borderId="102" applyNumberFormat="0" applyProtection="0">
      <alignment horizontal="left" vertical="center" indent="1"/>
    </xf>
    <xf numFmtId="350" fontId="268" fillId="129" borderId="102" applyNumberFormat="0" applyAlignment="0" applyProtection="0"/>
    <xf numFmtId="350" fontId="268" fillId="129" borderId="102" applyNumberFormat="0" applyAlignment="0" applyProtection="0"/>
    <xf numFmtId="210" fontId="64" fillId="0" borderId="28" applyFill="0"/>
    <xf numFmtId="4" fontId="53" fillId="0" borderId="102" applyNumberFormat="0" applyProtection="0">
      <alignment horizontal="right" vertical="center"/>
    </xf>
    <xf numFmtId="4" fontId="270" fillId="50" borderId="102" applyNumberFormat="0" applyProtection="0">
      <alignment horizontal="right" vertical="center"/>
    </xf>
    <xf numFmtId="4" fontId="53" fillId="64" borderId="102" applyNumberFormat="0" applyProtection="0">
      <alignment horizontal="left" vertical="center" indent="1"/>
    </xf>
    <xf numFmtId="4" fontId="274" fillId="33" borderId="102" applyNumberFormat="0" applyProtection="0">
      <alignment horizontal="right" vertical="center"/>
    </xf>
    <xf numFmtId="350" fontId="53" fillId="32" borderId="107" applyNumberFormat="0" applyProtection="0">
      <alignment horizontal="left" vertical="top" indent="1"/>
    </xf>
    <xf numFmtId="4" fontId="272" fillId="61" borderId="107" applyNumberFormat="0" applyProtection="0">
      <alignment horizontal="left" vertical="center" indent="1"/>
    </xf>
    <xf numFmtId="4" fontId="272" fillId="34" borderId="107" applyNumberFormat="0" applyProtection="0">
      <alignment vertical="center"/>
    </xf>
    <xf numFmtId="350" fontId="9" fillId="32" borderId="107" applyNumberFormat="0" applyProtection="0">
      <alignment horizontal="left" vertical="top" indent="1"/>
    </xf>
    <xf numFmtId="350" fontId="53" fillId="32" borderId="102" applyNumberFormat="0" applyProtection="0">
      <alignment horizontal="left" vertical="center" indent="1"/>
    </xf>
    <xf numFmtId="350" fontId="53" fillId="31" borderId="107" applyNumberFormat="0" applyProtection="0">
      <alignment horizontal="left" vertical="top" indent="1"/>
    </xf>
    <xf numFmtId="350" fontId="53" fillId="13" borderId="102" applyNumberFormat="0" applyFont="0" applyAlignment="0" applyProtection="0"/>
    <xf numFmtId="350" fontId="53" fillId="30" borderId="107" applyNumberFormat="0" applyProtection="0">
      <alignment horizontal="left" vertical="top" indent="1"/>
    </xf>
    <xf numFmtId="350" fontId="53" fillId="19" borderId="107" applyNumberFormat="0" applyProtection="0">
      <alignment horizontal="left" vertical="top" indent="1"/>
    </xf>
    <xf numFmtId="350" fontId="268" fillId="129" borderId="102" applyNumberFormat="0" applyAlignment="0" applyProtection="0"/>
    <xf numFmtId="350" fontId="15" fillId="0" borderId="111" applyNumberFormat="0" applyFill="0" applyAlignment="0" applyProtection="0"/>
    <xf numFmtId="350" fontId="15" fillId="0" borderId="111" applyNumberFormat="0" applyFill="0" applyAlignment="0" applyProtection="0"/>
    <xf numFmtId="37" fontId="64" fillId="0" borderId="110" applyNumberFormat="0"/>
    <xf numFmtId="4" fontId="274" fillId="33" borderId="102" applyNumberFormat="0" applyProtection="0">
      <alignment horizontal="right" vertical="center"/>
    </xf>
    <xf numFmtId="4" fontId="273" fillId="35" borderId="108" applyNumberFormat="0" applyProtection="0">
      <alignment horizontal="left" vertical="center" indent="1"/>
    </xf>
    <xf numFmtId="350" fontId="272" fillId="19" borderId="107" applyNumberFormat="0" applyProtection="0">
      <alignment horizontal="left" vertical="top" indent="1"/>
    </xf>
    <xf numFmtId="4" fontId="53" fillId="64" borderId="102" applyNumberFormat="0" applyProtection="0">
      <alignment horizontal="left" vertical="center" indent="1"/>
    </xf>
    <xf numFmtId="4" fontId="270" fillId="50" borderId="102" applyNumberFormat="0" applyProtection="0">
      <alignment horizontal="right" vertical="center"/>
    </xf>
    <xf numFmtId="4" fontId="53" fillId="0" borderId="102" applyNumberFormat="0" applyProtection="0">
      <alignment horizontal="right" vertical="center"/>
    </xf>
    <xf numFmtId="350" fontId="272" fillId="34"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9" fillId="30"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center"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83" borderId="102"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19" borderId="108" applyNumberFormat="0" applyProtection="0">
      <alignment horizontal="left" vertical="center" indent="1"/>
    </xf>
    <xf numFmtId="4" fontId="53" fillId="30" borderId="108" applyNumberFormat="0" applyProtection="0">
      <alignment horizontal="left" vertical="center" indent="1"/>
    </xf>
    <xf numFmtId="4" fontId="53" fillId="19" borderId="102" applyNumberFormat="0" applyProtection="0">
      <alignment horizontal="right" vertical="center"/>
    </xf>
    <xf numFmtId="4" fontId="9" fillId="31" borderId="108" applyNumberFormat="0" applyProtection="0">
      <alignment horizontal="left" vertical="center" indent="1"/>
    </xf>
    <xf numFmtId="4" fontId="9" fillId="31" borderId="108" applyNumberFormat="0" applyProtection="0">
      <alignment horizontal="left" vertical="center" indent="1"/>
    </xf>
    <xf numFmtId="4" fontId="53" fillId="29" borderId="108" applyNumberFormat="0" applyProtection="0">
      <alignment horizontal="left" vertical="center" indent="1"/>
    </xf>
    <xf numFmtId="4" fontId="53" fillId="28" borderId="102" applyNumberFormat="0" applyProtection="0">
      <alignment horizontal="right" vertical="center"/>
    </xf>
    <xf numFmtId="4" fontId="53" fillId="27" borderId="102" applyNumberFormat="0" applyProtection="0">
      <alignment horizontal="right" vertical="center"/>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22" borderId="108" applyNumberFormat="0" applyProtection="0">
      <alignment horizontal="right" vertical="center"/>
    </xf>
    <xf numFmtId="4" fontId="53" fillId="132" borderId="102" applyNumberFormat="0" applyProtection="0">
      <alignment horizontal="right" vertical="center"/>
    </xf>
    <xf numFmtId="4" fontId="53" fillId="20" borderId="102" applyNumberFormat="0" applyProtection="0">
      <alignment horizontal="right" vertical="center"/>
    </xf>
    <xf numFmtId="4" fontId="53" fillId="64" borderId="102" applyNumberFormat="0" applyProtection="0">
      <alignment horizontal="left" vertical="center" indent="1"/>
    </xf>
    <xf numFmtId="350" fontId="271" fillId="18" borderId="107" applyNumberFormat="0" applyProtection="0">
      <alignment horizontal="left" vertical="top" indent="1"/>
    </xf>
    <xf numFmtId="4" fontId="53" fillId="45" borderId="102" applyNumberFormat="0" applyProtection="0">
      <alignment horizontal="left" vertical="center" indent="1"/>
    </xf>
    <xf numFmtId="4" fontId="270" fillId="45" borderId="102" applyNumberFormat="0" applyProtection="0">
      <alignment vertical="center"/>
    </xf>
    <xf numFmtId="4" fontId="53" fillId="18" borderId="102" applyNumberFormat="0" applyProtection="0">
      <alignment vertical="center"/>
    </xf>
    <xf numFmtId="350" fontId="184" fillId="129" borderId="106" applyNumberFormat="0" applyAlignment="0" applyProtection="0"/>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42" fillId="14" borderId="102" applyNumberFormat="0" applyAlignment="0" applyProtection="0"/>
    <xf numFmtId="350" fontId="142" fillId="14" borderId="102" applyNumberFormat="0" applyAlignment="0" applyProtection="0"/>
    <xf numFmtId="350" fontId="268" fillId="129" borderId="102" applyNumberFormat="0" applyAlignment="0" applyProtection="0"/>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9" fillId="19" borderId="107" applyNumberFormat="0" applyProtection="0">
      <alignment horizontal="left" vertical="top" indent="1"/>
    </xf>
    <xf numFmtId="350" fontId="53" fillId="31" borderId="107" applyNumberFormat="0" applyProtection="0">
      <alignment horizontal="left" vertical="top" indent="1"/>
    </xf>
    <xf numFmtId="350" fontId="93" fillId="31" borderId="109" applyBorder="0"/>
    <xf numFmtId="350" fontId="53" fillId="13" borderId="102" applyNumberFormat="0" applyFont="0" applyAlignment="0" applyProtection="0"/>
    <xf numFmtId="350" fontId="53" fillId="30" borderId="107" applyNumberFormat="0" applyProtection="0">
      <alignment horizontal="left" vertical="top" indent="1"/>
    </xf>
    <xf numFmtId="350" fontId="9" fillId="30" borderId="107" applyNumberFormat="0" applyProtection="0">
      <alignment horizontal="left" vertical="center"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9" fillId="30" borderId="107" applyNumberFormat="0" applyProtection="0">
      <alignment horizontal="left" vertical="top" indent="1"/>
    </xf>
    <xf numFmtId="4" fontId="270" fillId="50" borderId="102" applyNumberFormat="0" applyProtection="0">
      <alignment horizontal="right" vertical="center"/>
    </xf>
    <xf numFmtId="4" fontId="53" fillId="64" borderId="102" applyNumberFormat="0" applyProtection="0">
      <alignment horizontal="left" vertical="center" indent="1"/>
    </xf>
    <xf numFmtId="350" fontId="272" fillId="19" borderId="107" applyNumberFormat="0" applyProtection="0">
      <alignment horizontal="left" vertical="top" indent="1"/>
    </xf>
    <xf numFmtId="4" fontId="273" fillId="35" borderId="108" applyNumberFormat="0" applyProtection="0">
      <alignment horizontal="left" vertical="center" indent="1"/>
    </xf>
    <xf numFmtId="37" fontId="64" fillId="0" borderId="110" applyNumberFormat="0"/>
    <xf numFmtId="350" fontId="15" fillId="0" borderId="111" applyNumberFormat="0" applyFill="0" applyAlignment="0" applyProtection="0"/>
    <xf numFmtId="350" fontId="53" fillId="32" borderId="107" applyNumberFormat="0" applyProtection="0">
      <alignment horizontal="left" vertical="top" indent="1"/>
    </xf>
    <xf numFmtId="350" fontId="53" fillId="19" borderId="107" applyNumberFormat="0" applyProtection="0">
      <alignment horizontal="left" vertical="top" indent="1"/>
    </xf>
    <xf numFmtId="4" fontId="53" fillId="23" borderId="102" applyNumberFormat="0" applyProtection="0">
      <alignment horizontal="right" vertical="center"/>
    </xf>
    <xf numFmtId="350" fontId="53" fillId="83" borderId="102" applyNumberFormat="0" applyProtection="0">
      <alignment horizontal="left" vertical="center"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4" fontId="53" fillId="64" borderId="102" applyNumberFormat="0" applyProtection="0">
      <alignment horizontal="left" vertical="center" indent="1"/>
    </xf>
    <xf numFmtId="350" fontId="53" fillId="30" borderId="102" applyNumberFormat="0" applyProtection="0">
      <alignment horizontal="left" vertical="center" indent="1"/>
    </xf>
    <xf numFmtId="210" fontId="64" fillId="0" borderId="28" applyFill="0"/>
    <xf numFmtId="4" fontId="272" fillId="34" borderId="107" applyNumberFormat="0" applyProtection="0">
      <alignment vertical="center"/>
    </xf>
    <xf numFmtId="350" fontId="15" fillId="0" borderId="111" applyNumberFormat="0" applyFill="0" applyAlignment="0" applyProtection="0"/>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350" fontId="53" fillId="61" borderId="102" applyNumberFormat="0" applyProtection="0">
      <alignment horizontal="left" vertical="center" indent="1"/>
    </xf>
    <xf numFmtId="4" fontId="53" fillId="26" borderId="102" applyNumberFormat="0" applyProtection="0">
      <alignment horizontal="right" vertical="center"/>
    </xf>
    <xf numFmtId="4" fontId="53" fillId="25" borderId="102" applyNumberFormat="0" applyProtection="0">
      <alignment horizontal="right" vertical="center"/>
    </xf>
    <xf numFmtId="4" fontId="53" fillId="24" borderId="102" applyNumberFormat="0" applyProtection="0">
      <alignment horizontal="right" vertical="center"/>
    </xf>
    <xf numFmtId="4" fontId="53" fillId="23" borderId="102" applyNumberFormat="0" applyProtection="0">
      <alignment horizontal="right" vertical="center"/>
    </xf>
    <xf numFmtId="4" fontId="53" fillId="18" borderId="102" applyNumberFormat="0" applyProtection="0">
      <alignment vertical="center"/>
    </xf>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142" fillId="14" borderId="102" applyNumberFormat="0" applyAlignment="0" applyProtection="0"/>
    <xf numFmtId="350" fontId="9" fillId="30" borderId="107" applyNumberFormat="0" applyProtection="0">
      <alignment horizontal="left" vertical="center" indent="1"/>
    </xf>
    <xf numFmtId="350" fontId="268" fillId="129" borderId="102" applyNumberFormat="0" applyAlignment="0" applyProtection="0"/>
    <xf numFmtId="350" fontId="53" fillId="30" borderId="102" applyNumberFormat="0" applyProtection="0">
      <alignment horizontal="left" vertical="center" indent="1"/>
    </xf>
    <xf numFmtId="350" fontId="53" fillId="32" borderId="107" applyNumberFormat="0" applyProtection="0">
      <alignment horizontal="left" vertical="top" indent="1"/>
    </xf>
    <xf numFmtId="37" fontId="64" fillId="0" borderId="110" applyNumberFormat="0"/>
    <xf numFmtId="350" fontId="53" fillId="13" borderId="102" applyNumberFormat="0" applyFont="0" applyAlignment="0" applyProtection="0"/>
    <xf numFmtId="4" fontId="273" fillId="35" borderId="108" applyNumberFormat="0" applyProtection="0">
      <alignment horizontal="left" vertical="center" indent="1"/>
    </xf>
    <xf numFmtId="164" fontId="12" fillId="0" borderId="0" applyFont="0" applyFill="0" applyBorder="0" applyAlignment="0" applyProtection="0"/>
    <xf numFmtId="350" fontId="53" fillId="13" borderId="102" applyNumberFormat="0" applyFont="0" applyAlignment="0" applyProtection="0"/>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4" fontId="272" fillId="34" borderId="107" applyNumberFormat="0" applyProtection="0">
      <alignment vertical="center"/>
    </xf>
    <xf numFmtId="4" fontId="274" fillId="33" borderId="102" applyNumberFormat="0" applyProtection="0">
      <alignment horizontal="right" vertical="center"/>
    </xf>
    <xf numFmtId="350" fontId="15" fillId="0" borderId="111" applyNumberFormat="0" applyFill="0" applyAlignment="0" applyProtection="0"/>
    <xf numFmtId="350" fontId="9" fillId="30" borderId="107" applyNumberFormat="0" applyProtection="0">
      <alignment horizontal="left" vertical="top" indent="1"/>
    </xf>
    <xf numFmtId="4" fontId="53" fillId="26" borderId="102" applyNumberFormat="0" applyProtection="0">
      <alignment horizontal="right" vertical="center"/>
    </xf>
    <xf numFmtId="4" fontId="274" fillId="33" borderId="102" applyNumberFormat="0" applyProtection="0">
      <alignment horizontal="right" vertical="center"/>
    </xf>
    <xf numFmtId="350" fontId="15" fillId="0" borderId="111" applyNumberFormat="0" applyFill="0" applyAlignment="0" applyProtection="0"/>
    <xf numFmtId="350" fontId="9" fillId="30" borderId="107" applyNumberFormat="0" applyProtection="0">
      <alignment horizontal="left" vertical="center" indent="1"/>
    </xf>
    <xf numFmtId="350" fontId="53" fillId="19" borderId="107" applyNumberFormat="0" applyProtection="0">
      <alignment horizontal="left" vertical="top" indent="1"/>
    </xf>
    <xf numFmtId="350" fontId="268" fillId="129" borderId="102" applyNumberFormat="0" applyAlignment="0" applyProtection="0"/>
    <xf numFmtId="4" fontId="53" fillId="24" borderId="102" applyNumberFormat="0" applyProtection="0">
      <alignment horizontal="right" vertical="center"/>
    </xf>
    <xf numFmtId="210" fontId="64" fillId="0" borderId="28" applyFill="0"/>
    <xf numFmtId="350" fontId="53" fillId="13" borderId="102" applyNumberFormat="0" applyFont="0" applyAlignment="0" applyProtection="0"/>
    <xf numFmtId="350" fontId="272" fillId="34" borderId="107" applyNumberFormat="0" applyProtection="0">
      <alignment horizontal="left" vertical="top" indent="1"/>
    </xf>
    <xf numFmtId="4" fontId="272" fillId="34" borderId="107" applyNumberFormat="0" applyProtection="0">
      <alignment vertical="center"/>
    </xf>
    <xf numFmtId="350" fontId="53" fillId="13" borderId="102" applyNumberFormat="0" applyFont="0" applyAlignment="0" applyProtection="0"/>
    <xf numFmtId="350" fontId="53" fillId="13" borderId="102" applyNumberFormat="0" applyFont="0" applyAlignment="0" applyProtection="0"/>
    <xf numFmtId="350" fontId="271" fillId="18" borderId="107" applyNumberFormat="0" applyProtection="0">
      <alignment horizontal="left" vertical="top" indent="1"/>
    </xf>
    <xf numFmtId="4" fontId="53" fillId="25" borderId="102" applyNumberFormat="0" applyProtection="0">
      <alignment horizontal="right" vertical="center"/>
    </xf>
    <xf numFmtId="4" fontId="53" fillId="19" borderId="102" applyNumberFormat="0" applyProtection="0">
      <alignment horizontal="right" vertical="center"/>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9" fillId="32" borderId="107" applyNumberFormat="0" applyProtection="0">
      <alignment horizontal="left" vertical="center" indent="1"/>
    </xf>
    <xf numFmtId="350" fontId="142" fillId="14" borderId="102" applyNumberFormat="0" applyAlignment="0" applyProtection="0"/>
    <xf numFmtId="37" fontId="64" fillId="0" borderId="110" applyNumberFormat="0"/>
    <xf numFmtId="350" fontId="53" fillId="30" borderId="102" applyNumberFormat="0" applyProtection="0">
      <alignment horizontal="left" vertical="center"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9" fillId="19" borderId="107" applyNumberFormat="0" applyProtection="0">
      <alignment horizontal="left" vertical="top" indent="1"/>
    </xf>
    <xf numFmtId="350" fontId="53" fillId="31" borderId="107" applyNumberFormat="0" applyProtection="0">
      <alignment horizontal="left" vertical="top" indent="1"/>
    </xf>
    <xf numFmtId="4" fontId="53" fillId="29" borderId="108" applyNumberFormat="0" applyProtection="0">
      <alignment horizontal="left" vertical="center" indent="1"/>
    </xf>
    <xf numFmtId="350" fontId="142" fillId="14" borderId="102" applyNumberFormat="0" applyAlignment="0" applyProtection="0"/>
    <xf numFmtId="4" fontId="270" fillId="50" borderId="102" applyNumberFormat="0" applyProtection="0">
      <alignment horizontal="right" vertical="center"/>
    </xf>
    <xf numFmtId="4" fontId="272" fillId="34" borderId="107" applyNumberFormat="0" applyProtection="0">
      <alignment vertical="center"/>
    </xf>
    <xf numFmtId="350" fontId="53" fillId="30" borderId="107" applyNumberFormat="0" applyProtection="0">
      <alignment horizontal="left" vertical="top" indent="1"/>
    </xf>
    <xf numFmtId="4" fontId="272" fillId="61" borderId="107" applyNumberFormat="0" applyProtection="0">
      <alignment horizontal="left" vertical="center" indent="1"/>
    </xf>
    <xf numFmtId="350" fontId="9" fillId="30" borderId="107" applyNumberFormat="0" applyProtection="0">
      <alignment horizontal="left" vertical="center" indent="1"/>
    </xf>
    <xf numFmtId="4" fontId="53" fillId="64" borderId="102" applyNumberFormat="0" applyProtection="0">
      <alignment horizontal="left" vertical="center" indent="1"/>
    </xf>
    <xf numFmtId="350" fontId="53" fillId="32" borderId="102" applyNumberFormat="0" applyProtection="0">
      <alignment horizontal="left" vertical="center"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9" fillId="32" borderId="107" applyNumberFormat="0" applyProtection="0">
      <alignment horizontal="left" vertical="top" indent="1"/>
    </xf>
    <xf numFmtId="350" fontId="53" fillId="19" borderId="107" applyNumberFormat="0" applyProtection="0">
      <alignment horizontal="left" vertical="top" indent="1"/>
    </xf>
    <xf numFmtId="350" fontId="9" fillId="19" borderId="107" applyNumberFormat="0" applyProtection="0">
      <alignment horizontal="left" vertical="center"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4" fontId="53" fillId="27" borderId="102" applyNumberFormat="0" applyProtection="0">
      <alignment horizontal="right" vertical="center"/>
    </xf>
    <xf numFmtId="4" fontId="53" fillId="30" borderId="108" applyNumberFormat="0" applyProtection="0">
      <alignment horizontal="left" vertical="center" indent="1"/>
    </xf>
    <xf numFmtId="4" fontId="53" fillId="64" borderId="102" applyNumberFormat="0" applyProtection="0">
      <alignment horizontal="left" vertical="center" indent="1"/>
    </xf>
    <xf numFmtId="4" fontId="53" fillId="27" borderId="102" applyNumberFormat="0" applyProtection="0">
      <alignment horizontal="right" vertical="center"/>
    </xf>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142" fillId="14" borderId="102" applyNumberFormat="0" applyAlignment="0" applyProtection="0"/>
    <xf numFmtId="350" fontId="53" fillId="13" borderId="102" applyNumberFormat="0" applyFont="0" applyAlignment="0" applyProtection="0"/>
    <xf numFmtId="4" fontId="270" fillId="45" borderId="102" applyNumberFormat="0" applyProtection="0">
      <alignment vertical="center"/>
    </xf>
    <xf numFmtId="4" fontId="53" fillId="25" borderId="102" applyNumberFormat="0" applyProtection="0">
      <alignment horizontal="right" vertical="center"/>
    </xf>
    <xf numFmtId="4" fontId="53" fillId="19" borderId="108" applyNumberFormat="0" applyProtection="0">
      <alignment horizontal="left" vertical="center"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164" fontId="12" fillId="0" borderId="0" applyFont="0" applyFill="0" applyBorder="0" applyAlignment="0" applyProtection="0"/>
    <xf numFmtId="4" fontId="53" fillId="23" borderId="102" applyNumberFormat="0" applyProtection="0">
      <alignment horizontal="right" vertical="center"/>
    </xf>
    <xf numFmtId="164" fontId="12" fillId="0" borderId="0" applyFont="0" applyFill="0" applyBorder="0" applyAlignment="0" applyProtection="0"/>
    <xf numFmtId="350" fontId="53" fillId="13" borderId="102" applyNumberFormat="0" applyFont="0" applyAlignment="0" applyProtection="0"/>
    <xf numFmtId="4" fontId="53" fillId="18" borderId="102" applyNumberFormat="0" applyProtection="0">
      <alignment vertical="center"/>
    </xf>
    <xf numFmtId="4" fontId="270" fillId="45" borderId="102" applyNumberFormat="0" applyProtection="0">
      <alignment vertical="center"/>
    </xf>
    <xf numFmtId="4" fontId="53" fillId="25" borderId="102" applyNumberFormat="0" applyProtection="0">
      <alignment horizontal="right" vertical="center"/>
    </xf>
    <xf numFmtId="4" fontId="53" fillId="29" borderId="108" applyNumberFormat="0" applyProtection="0">
      <alignment horizontal="left" vertical="center" indent="1"/>
    </xf>
    <xf numFmtId="4" fontId="53" fillId="132" borderId="102" applyNumberFormat="0" applyProtection="0">
      <alignment horizontal="right" vertical="center"/>
    </xf>
    <xf numFmtId="4" fontId="53" fillId="19" borderId="102" applyNumberFormat="0" applyProtection="0">
      <alignment horizontal="right" vertical="center"/>
    </xf>
    <xf numFmtId="350" fontId="53" fillId="61" borderId="102" applyNumberFormat="0" applyProtection="0">
      <alignment horizontal="left" vertical="center" indent="1"/>
    </xf>
    <xf numFmtId="210" fontId="64" fillId="0" borderId="28" applyFill="0"/>
    <xf numFmtId="350" fontId="53" fillId="32" borderId="107" applyNumberFormat="0" applyProtection="0">
      <alignment horizontal="left" vertical="top" indent="1"/>
    </xf>
    <xf numFmtId="4" fontId="53" fillId="19" borderId="102" applyNumberFormat="0" applyProtection="0">
      <alignment horizontal="right" vertical="center"/>
    </xf>
    <xf numFmtId="350" fontId="184" fillId="129" borderId="106" applyNumberFormat="0" applyAlignment="0" applyProtection="0"/>
    <xf numFmtId="350" fontId="53" fillId="13" borderId="102" applyNumberFormat="0" applyFont="0" applyAlignment="0" applyProtection="0"/>
    <xf numFmtId="350" fontId="184" fillId="129" borderId="106" applyNumberFormat="0" applyAlignment="0" applyProtection="0"/>
    <xf numFmtId="350" fontId="53" fillId="61" borderId="102" applyNumberFormat="0" applyProtection="0">
      <alignment horizontal="left" vertical="center"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center" indent="1"/>
    </xf>
    <xf numFmtId="4" fontId="53" fillId="27" borderId="102" applyNumberFormat="0" applyProtection="0">
      <alignment horizontal="right" vertical="center"/>
    </xf>
    <xf numFmtId="350" fontId="271" fillId="18" borderId="107" applyNumberFormat="0" applyProtection="0">
      <alignment horizontal="left" vertical="top" indent="1"/>
    </xf>
    <xf numFmtId="350" fontId="53" fillId="13" borderId="102" applyNumberFormat="0" applyFont="0" applyAlignment="0" applyProtection="0"/>
    <xf numFmtId="350" fontId="142" fillId="14" borderId="102"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4" fontId="53" fillId="132" borderId="102" applyNumberFormat="0" applyProtection="0">
      <alignment horizontal="right" vertical="center"/>
    </xf>
    <xf numFmtId="4" fontId="53" fillId="45" borderId="102" applyNumberFormat="0" applyProtection="0">
      <alignment horizontal="left" vertical="center" indent="1"/>
    </xf>
    <xf numFmtId="4" fontId="9" fillId="31" borderId="108" applyNumberFormat="0" applyProtection="0">
      <alignment horizontal="left" vertical="center" indent="1"/>
    </xf>
    <xf numFmtId="4" fontId="53" fillId="25" borderId="102" applyNumberFormat="0" applyProtection="0">
      <alignment horizontal="right" vertical="center"/>
    </xf>
    <xf numFmtId="4" fontId="53" fillId="23" borderId="102" applyNumberFormat="0" applyProtection="0">
      <alignment horizontal="right" vertical="center"/>
    </xf>
    <xf numFmtId="350" fontId="53" fillId="31" borderId="107" applyNumberFormat="0" applyProtection="0">
      <alignment horizontal="left" vertical="top" indent="1"/>
    </xf>
    <xf numFmtId="350" fontId="268" fillId="129" borderId="102" applyNumberFormat="0" applyAlignment="0" applyProtection="0"/>
    <xf numFmtId="350" fontId="53" fillId="19" borderId="107" applyNumberFormat="0" applyProtection="0">
      <alignment horizontal="left" vertical="top"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9" fillId="30" borderId="107" applyNumberFormat="0" applyProtection="0">
      <alignment horizontal="left" vertical="top" indent="1"/>
    </xf>
    <xf numFmtId="350" fontId="53" fillId="30" borderId="107" applyNumberFormat="0" applyProtection="0">
      <alignment horizontal="left" vertical="top" indent="1"/>
    </xf>
    <xf numFmtId="4" fontId="53" fillId="0" borderId="102" applyNumberFormat="0" applyProtection="0">
      <alignment horizontal="right" vertical="center"/>
    </xf>
    <xf numFmtId="350" fontId="15" fillId="0" borderId="111" applyNumberFormat="0" applyFill="0" applyAlignment="0" applyProtection="0"/>
    <xf numFmtId="350" fontId="93" fillId="31" borderId="109" applyBorder="0"/>
    <xf numFmtId="350" fontId="53" fillId="30" borderId="107" applyNumberFormat="0" applyProtection="0">
      <alignment horizontal="left" vertical="top" indent="1"/>
    </xf>
    <xf numFmtId="350" fontId="53" fillId="30" borderId="107" applyNumberFormat="0" applyProtection="0">
      <alignment horizontal="left" vertical="top" indent="1"/>
    </xf>
    <xf numFmtId="210" fontId="64" fillId="0" borderId="28" applyFill="0"/>
    <xf numFmtId="350" fontId="53" fillId="30" borderId="107" applyNumberFormat="0" applyProtection="0">
      <alignment horizontal="left" vertical="top" indent="1"/>
    </xf>
    <xf numFmtId="4" fontId="53" fillId="27" borderId="102" applyNumberFormat="0" applyProtection="0">
      <alignment horizontal="right" vertical="center"/>
    </xf>
    <xf numFmtId="4" fontId="53" fillId="19" borderId="108" applyNumberFormat="0" applyProtection="0">
      <alignment horizontal="left" vertical="center" indent="1"/>
    </xf>
    <xf numFmtId="350" fontId="53" fillId="31" borderId="107" applyNumberFormat="0" applyProtection="0">
      <alignment horizontal="left" vertical="top"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4" fontId="273" fillId="35" borderId="108" applyNumberFormat="0" applyProtection="0">
      <alignment horizontal="left" vertical="center" indent="1"/>
    </xf>
    <xf numFmtId="350" fontId="142" fillId="14" borderId="102" applyNumberFormat="0" applyAlignment="0" applyProtection="0"/>
    <xf numFmtId="350" fontId="9" fillId="32" borderId="107" applyNumberFormat="0" applyProtection="0">
      <alignment horizontal="left" vertical="top" indent="1"/>
    </xf>
    <xf numFmtId="350" fontId="142" fillId="14" borderId="102" applyNumberFormat="0" applyAlignment="0" applyProtection="0"/>
    <xf numFmtId="350" fontId="9" fillId="19" borderId="107" applyNumberFormat="0" applyProtection="0">
      <alignment horizontal="left" vertical="center" indent="1"/>
    </xf>
    <xf numFmtId="350" fontId="53" fillId="31" borderId="107" applyNumberFormat="0" applyProtection="0">
      <alignment horizontal="left" vertical="top" indent="1"/>
    </xf>
    <xf numFmtId="4" fontId="53" fillId="19" borderId="108" applyNumberFormat="0" applyProtection="0">
      <alignment horizontal="left" vertical="center" indent="1"/>
    </xf>
    <xf numFmtId="4" fontId="53" fillId="27" borderId="102" applyNumberFormat="0" applyProtection="0">
      <alignment horizontal="right" vertical="center"/>
    </xf>
    <xf numFmtId="4" fontId="53" fillId="20" borderId="102" applyNumberFormat="0" applyProtection="0">
      <alignment horizontal="right" vertical="center"/>
    </xf>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32" borderId="102" applyNumberFormat="0" applyProtection="0">
      <alignment horizontal="left" vertical="center" indent="1"/>
    </xf>
    <xf numFmtId="4" fontId="53" fillId="132" borderId="102" applyNumberFormat="0" applyProtection="0">
      <alignment horizontal="right" vertical="center"/>
    </xf>
    <xf numFmtId="350" fontId="53" fillId="30" borderId="107" applyNumberFormat="0" applyProtection="0">
      <alignment horizontal="left" vertical="top" indent="1"/>
    </xf>
    <xf numFmtId="4" fontId="53" fillId="30" borderId="108" applyNumberFormat="0" applyProtection="0">
      <alignment horizontal="left" vertical="center" indent="1"/>
    </xf>
    <xf numFmtId="350" fontId="53" fillId="31" borderId="107" applyNumberFormat="0" applyProtection="0">
      <alignment horizontal="left" vertical="top" indent="1"/>
    </xf>
    <xf numFmtId="350" fontId="53" fillId="83" borderId="102" applyNumberFormat="0" applyProtection="0">
      <alignment horizontal="left" vertical="center"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272" fillId="19" borderId="107" applyNumberFormat="0" applyProtection="0">
      <alignment horizontal="left" vertical="top" indent="1"/>
    </xf>
    <xf numFmtId="4" fontId="53" fillId="0" borderId="102" applyNumberFormat="0" applyProtection="0">
      <alignment horizontal="right" vertical="center"/>
    </xf>
    <xf numFmtId="350" fontId="9" fillId="32" borderId="107" applyNumberFormat="0" applyProtection="0">
      <alignment horizontal="left" vertical="top" indent="1"/>
    </xf>
    <xf numFmtId="37" fontId="64" fillId="0" borderId="110" applyNumberFormat="0"/>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4" fontId="53" fillId="19" borderId="108" applyNumberFormat="0" applyProtection="0">
      <alignment horizontal="left" vertical="center" indent="1"/>
    </xf>
    <xf numFmtId="4" fontId="53" fillId="22" borderId="108" applyNumberFormat="0" applyProtection="0">
      <alignment horizontal="right" vertical="center"/>
    </xf>
    <xf numFmtId="350" fontId="268" fillId="129" borderId="102" applyNumberFormat="0" applyAlignment="0" applyProtection="0"/>
    <xf numFmtId="350" fontId="53" fillId="32" borderId="107" applyNumberFormat="0" applyProtection="0">
      <alignment horizontal="left" vertical="top" indent="1"/>
    </xf>
    <xf numFmtId="350" fontId="53" fillId="13" borderId="102" applyNumberFormat="0" applyFont="0" applyAlignment="0" applyProtection="0"/>
    <xf numFmtId="350" fontId="53" fillId="13" borderId="102" applyNumberFormat="0" applyFont="0" applyAlignment="0" applyProtection="0"/>
    <xf numFmtId="350" fontId="53" fillId="19" borderId="107" applyNumberFormat="0" applyProtection="0">
      <alignment horizontal="left" vertical="top" indent="1"/>
    </xf>
    <xf numFmtId="350" fontId="9" fillId="31" borderId="107" applyNumberFormat="0" applyProtection="0">
      <alignment horizontal="left" vertical="center" indent="1"/>
    </xf>
    <xf numFmtId="350" fontId="9" fillId="19" borderId="107" applyNumberFormat="0" applyProtection="0">
      <alignment horizontal="left" vertical="top" indent="1"/>
    </xf>
    <xf numFmtId="350" fontId="53" fillId="31" borderId="107" applyNumberFormat="0" applyProtection="0">
      <alignment horizontal="left" vertical="top" indent="1"/>
    </xf>
    <xf numFmtId="4" fontId="53" fillId="0" borderId="102" applyNumberFormat="0" applyProtection="0">
      <alignment horizontal="right" vertical="center"/>
    </xf>
    <xf numFmtId="350" fontId="53" fillId="13" borderId="102" applyNumberFormat="0" applyFont="0" applyAlignment="0" applyProtection="0"/>
    <xf numFmtId="4" fontId="53" fillId="23" borderId="102" applyNumberFormat="0" applyProtection="0">
      <alignment horizontal="right" vertical="center"/>
    </xf>
    <xf numFmtId="4" fontId="53" fillId="23" borderId="102" applyNumberFormat="0" applyProtection="0">
      <alignment horizontal="right" vertical="center"/>
    </xf>
    <xf numFmtId="4" fontId="53" fillId="28" borderId="102" applyNumberFormat="0" applyProtection="0">
      <alignment horizontal="right" vertical="center"/>
    </xf>
    <xf numFmtId="350" fontId="53" fillId="61" borderId="102" applyNumberFormat="0" applyProtection="0">
      <alignment horizontal="left" vertical="center"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4" fontId="274" fillId="33" borderId="102" applyNumberFormat="0" applyProtection="0">
      <alignment horizontal="right" vertical="center"/>
    </xf>
    <xf numFmtId="4" fontId="53" fillId="64" borderId="102" applyNumberFormat="0" applyProtection="0">
      <alignment horizontal="left" vertical="center" indent="1"/>
    </xf>
    <xf numFmtId="350" fontId="53" fillId="30" borderId="107" applyNumberFormat="0" applyProtection="0">
      <alignment horizontal="left" vertical="top" indent="1"/>
    </xf>
    <xf numFmtId="4" fontId="273" fillId="35" borderId="108" applyNumberFormat="0" applyProtection="0">
      <alignment horizontal="left" vertical="center"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4" fontId="53" fillId="19" borderId="102" applyNumberFormat="0" applyProtection="0">
      <alignment horizontal="right" vertical="center"/>
    </xf>
    <xf numFmtId="4" fontId="53" fillId="20" borderId="102" applyNumberFormat="0" applyProtection="0">
      <alignment horizontal="right" vertical="center"/>
    </xf>
    <xf numFmtId="350" fontId="53" fillId="30" borderId="107" applyNumberFormat="0" applyProtection="0">
      <alignment horizontal="left" vertical="top" indent="1"/>
    </xf>
    <xf numFmtId="350" fontId="53" fillId="31" borderId="107" applyNumberFormat="0" applyProtection="0">
      <alignment horizontal="left" vertical="top" indent="1"/>
    </xf>
    <xf numFmtId="350" fontId="53" fillId="13" borderId="102" applyNumberFormat="0" applyFont="0" applyAlignment="0" applyProtection="0"/>
    <xf numFmtId="350" fontId="53" fillId="13" borderId="102" applyNumberFormat="0" applyFont="0" applyAlignment="0" applyProtection="0"/>
    <xf numFmtId="4" fontId="53" fillId="64" borderId="102" applyNumberFormat="0" applyProtection="0">
      <alignment horizontal="left" vertical="center" indent="1"/>
    </xf>
    <xf numFmtId="350" fontId="53" fillId="30" borderId="107" applyNumberFormat="0" applyProtection="0">
      <alignment horizontal="left" vertical="top" indent="1"/>
    </xf>
    <xf numFmtId="350" fontId="53" fillId="19" borderId="107" applyNumberFormat="0" applyProtection="0">
      <alignment horizontal="left" vertical="top" indent="1"/>
    </xf>
    <xf numFmtId="4" fontId="9" fillId="31" borderId="108" applyNumberFormat="0" applyProtection="0">
      <alignment horizontal="left" vertical="center" indent="1"/>
    </xf>
    <xf numFmtId="350" fontId="184" fillId="129" borderId="106" applyNumberFormat="0" applyAlignment="0" applyProtection="0"/>
    <xf numFmtId="164" fontId="12" fillId="0" borderId="0" applyFont="0" applyFill="0" applyBorder="0" applyAlignment="0" applyProtection="0"/>
    <xf numFmtId="350" fontId="271" fillId="18" borderId="107" applyNumberFormat="0" applyProtection="0">
      <alignment horizontal="left" vertical="top" indent="1"/>
    </xf>
    <xf numFmtId="4" fontId="53" fillId="27" borderId="102" applyNumberFormat="0" applyProtection="0">
      <alignment horizontal="right" vertical="center"/>
    </xf>
    <xf numFmtId="4" fontId="53" fillId="19" borderId="108" applyNumberFormat="0" applyProtection="0">
      <alignment horizontal="left" vertical="center" indent="1"/>
    </xf>
    <xf numFmtId="350" fontId="9" fillId="31" borderId="107" applyNumberFormat="0" applyProtection="0">
      <alignment horizontal="left" vertical="top" indent="1"/>
    </xf>
    <xf numFmtId="350" fontId="53" fillId="32" borderId="107" applyNumberFormat="0" applyProtection="0">
      <alignment horizontal="left" vertical="top" indent="1"/>
    </xf>
    <xf numFmtId="350" fontId="53" fillId="32" borderId="102" applyNumberFormat="0" applyProtection="0">
      <alignment horizontal="left" vertical="center" indent="1"/>
    </xf>
    <xf numFmtId="350" fontId="9" fillId="19" borderId="107" applyNumberFormat="0" applyProtection="0">
      <alignment horizontal="left" vertical="center" indent="1"/>
    </xf>
    <xf numFmtId="350" fontId="53" fillId="31" borderId="107" applyNumberFormat="0" applyProtection="0">
      <alignment horizontal="left" vertical="top" indent="1"/>
    </xf>
    <xf numFmtId="4" fontId="9" fillId="31" borderId="108" applyNumberFormat="0" applyProtection="0">
      <alignment horizontal="left" vertical="center" indent="1"/>
    </xf>
    <xf numFmtId="4" fontId="53" fillId="132" borderId="102" applyNumberFormat="0" applyProtection="0">
      <alignment horizontal="right" vertical="center"/>
    </xf>
    <xf numFmtId="350" fontId="53" fillId="13" borderId="102" applyNumberFormat="0" applyFont="0" applyAlignment="0" applyProtection="0"/>
    <xf numFmtId="350" fontId="268" fillId="129" borderId="102" applyNumberFormat="0" applyAlignment="0" applyProtection="0"/>
    <xf numFmtId="350" fontId="142" fillId="14" borderId="102"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4" fontId="270" fillId="45" borderId="102" applyNumberFormat="0" applyProtection="0">
      <alignment vertical="center"/>
    </xf>
    <xf numFmtId="4" fontId="53" fillId="19" borderId="102" applyNumberFormat="0" applyProtection="0">
      <alignment horizontal="right" vertical="center"/>
    </xf>
    <xf numFmtId="4" fontId="53" fillId="132" borderId="102" applyNumberFormat="0" applyProtection="0">
      <alignment horizontal="right" vertical="center"/>
    </xf>
    <xf numFmtId="350" fontId="53" fillId="31" borderId="107" applyNumberFormat="0" applyProtection="0">
      <alignment horizontal="left" vertical="top" indent="1"/>
    </xf>
    <xf numFmtId="4" fontId="53" fillId="29" borderId="108" applyNumberFormat="0" applyProtection="0">
      <alignment horizontal="left" vertical="center" indent="1"/>
    </xf>
    <xf numFmtId="4" fontId="53" fillId="26" borderId="102" applyNumberFormat="0" applyProtection="0">
      <alignment horizontal="right" vertical="center"/>
    </xf>
    <xf numFmtId="350" fontId="53" fillId="31"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53" fillId="30" borderId="107" applyNumberFormat="0" applyProtection="0">
      <alignment horizontal="left" vertical="top" indent="1"/>
    </xf>
    <xf numFmtId="4" fontId="272" fillId="34" borderId="107" applyNumberFormat="0" applyProtection="0">
      <alignment vertical="center"/>
    </xf>
    <xf numFmtId="4" fontId="273" fillId="35" borderId="108" applyNumberFormat="0" applyProtection="0">
      <alignment horizontal="left" vertical="center" indent="1"/>
    </xf>
    <xf numFmtId="350" fontId="53" fillId="19" borderId="107" applyNumberFormat="0" applyProtection="0">
      <alignment horizontal="left" vertical="top" indent="1"/>
    </xf>
    <xf numFmtId="4" fontId="53" fillId="64" borderId="102" applyNumberFormat="0" applyProtection="0">
      <alignment horizontal="left" vertical="center" indent="1"/>
    </xf>
    <xf numFmtId="350" fontId="53" fillId="30" borderId="107" applyNumberFormat="0" applyProtection="0">
      <alignment horizontal="left" vertical="top" indent="1"/>
    </xf>
    <xf numFmtId="4" fontId="53" fillId="0" borderId="102" applyNumberFormat="0" applyProtection="0">
      <alignment horizontal="right" vertical="center"/>
    </xf>
    <xf numFmtId="350" fontId="268" fillId="129" borderId="102" applyNumberFormat="0" applyAlignment="0" applyProtection="0"/>
    <xf numFmtId="350" fontId="53" fillId="13" borderId="102" applyNumberFormat="0" applyFont="0" applyAlignment="0" applyProtection="0"/>
    <xf numFmtId="4" fontId="9" fillId="31" borderId="108" applyNumberFormat="0" applyProtection="0">
      <alignment horizontal="left" vertical="center"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15" fillId="0" borderId="111" applyNumberFormat="0" applyFill="0" applyAlignment="0" applyProtection="0"/>
    <xf numFmtId="350" fontId="53" fillId="13" borderId="102" applyNumberFormat="0" applyFont="0" applyAlignment="0" applyProtection="0"/>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4" fontId="9" fillId="31" borderId="108" applyNumberFormat="0" applyProtection="0">
      <alignment horizontal="left" vertical="center" indent="1"/>
    </xf>
    <xf numFmtId="4" fontId="53" fillId="23" borderId="102" applyNumberFormat="0" applyProtection="0">
      <alignment horizontal="right" vertical="center"/>
    </xf>
    <xf numFmtId="4" fontId="270" fillId="45" borderId="102" applyNumberFormat="0" applyProtection="0">
      <alignment vertical="center"/>
    </xf>
    <xf numFmtId="350" fontId="53" fillId="13" borderId="102" applyNumberFormat="0" applyFont="0" applyAlignment="0" applyProtection="0"/>
    <xf numFmtId="350" fontId="268" fillId="129" borderId="102" applyNumberFormat="0" applyAlignment="0" applyProtection="0"/>
    <xf numFmtId="4" fontId="53" fillId="132" borderId="102" applyNumberFormat="0" applyProtection="0">
      <alignment horizontal="right" vertical="center"/>
    </xf>
    <xf numFmtId="350" fontId="53" fillId="13" borderId="102" applyNumberFormat="0" applyFont="0" applyAlignment="0" applyProtection="0"/>
    <xf numFmtId="350" fontId="272" fillId="34" borderId="107" applyNumberFormat="0" applyProtection="0">
      <alignment horizontal="left" vertical="top" indent="1"/>
    </xf>
    <xf numFmtId="4" fontId="53" fillId="25" borderId="102" applyNumberFormat="0" applyProtection="0">
      <alignment horizontal="right" vertical="center"/>
    </xf>
    <xf numFmtId="4" fontId="9" fillId="31" borderId="108" applyNumberFormat="0" applyProtection="0">
      <alignment horizontal="left" vertical="center"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9" fillId="30" borderId="107" applyNumberFormat="0" applyProtection="0">
      <alignment horizontal="left" vertical="center"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15" fillId="0" borderId="111" applyNumberFormat="0" applyFill="0" applyAlignment="0" applyProtection="0"/>
    <xf numFmtId="350" fontId="53" fillId="32" borderId="107" applyNumberFormat="0" applyProtection="0">
      <alignment horizontal="left" vertical="top" indent="1"/>
    </xf>
    <xf numFmtId="350" fontId="268" fillId="129" borderId="102" applyNumberFormat="0" applyAlignment="0" applyProtection="0"/>
    <xf numFmtId="4" fontId="53" fillId="0" borderId="102" applyNumberFormat="0" applyProtection="0">
      <alignment horizontal="right" vertical="center"/>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83" borderId="102" applyNumberFormat="0" applyProtection="0">
      <alignment horizontal="left" vertical="center" indent="1"/>
    </xf>
    <xf numFmtId="350" fontId="9" fillId="31" borderId="107" applyNumberFormat="0" applyProtection="0">
      <alignment horizontal="left" vertical="top" indent="1"/>
    </xf>
    <xf numFmtId="4" fontId="53" fillId="28" borderId="102" applyNumberFormat="0" applyProtection="0">
      <alignment horizontal="right" vertical="center"/>
    </xf>
    <xf numFmtId="350" fontId="271" fillId="18" borderId="107" applyNumberFormat="0" applyProtection="0">
      <alignment horizontal="left" vertical="top" indent="1"/>
    </xf>
    <xf numFmtId="350" fontId="93" fillId="31" borderId="109" applyBorder="0"/>
    <xf numFmtId="350" fontId="53" fillId="32" borderId="102" applyNumberFormat="0" applyProtection="0">
      <alignment horizontal="left" vertical="center" indent="1"/>
    </xf>
    <xf numFmtId="350" fontId="142" fillId="14" borderId="102" applyNumberFormat="0" applyAlignment="0" applyProtection="0"/>
    <xf numFmtId="4" fontId="272" fillId="61" borderId="107" applyNumberFormat="0" applyProtection="0">
      <alignment horizontal="left" vertical="center" indent="1"/>
    </xf>
    <xf numFmtId="350" fontId="53" fillId="13" borderId="102" applyNumberFormat="0" applyFont="0" applyAlignment="0" applyProtection="0"/>
    <xf numFmtId="350" fontId="268" fillId="129" borderId="102" applyNumberFormat="0" applyAlignment="0" applyProtection="0"/>
    <xf numFmtId="4" fontId="53" fillId="45" borderId="102" applyNumberFormat="0" applyProtection="0">
      <alignment horizontal="left" vertical="center" indent="1"/>
    </xf>
    <xf numFmtId="4" fontId="53" fillId="24" borderId="102" applyNumberFormat="0" applyProtection="0">
      <alignment horizontal="right" vertical="center"/>
    </xf>
    <xf numFmtId="4" fontId="9" fillId="31" borderId="108" applyNumberFormat="0" applyProtection="0">
      <alignment horizontal="left" vertical="center" indent="1"/>
    </xf>
    <xf numFmtId="350" fontId="9" fillId="31" borderId="107" applyNumberFormat="0" applyProtection="0">
      <alignment horizontal="left" vertical="top"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32" borderId="102" applyNumberFormat="0" applyProtection="0">
      <alignment horizontal="left" vertical="center" indent="1"/>
    </xf>
    <xf numFmtId="350" fontId="15" fillId="0" borderId="111" applyNumberFormat="0" applyFill="0" applyAlignment="0" applyProtection="0"/>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4" fontId="9" fillId="31" borderId="108" applyNumberFormat="0" applyProtection="0">
      <alignment horizontal="left" vertical="center" indent="1"/>
    </xf>
    <xf numFmtId="4" fontId="53" fillId="64" borderId="102" applyNumberFormat="0" applyProtection="0">
      <alignment horizontal="left" vertical="center" indent="1"/>
    </xf>
    <xf numFmtId="350" fontId="272" fillId="34" borderId="107" applyNumberFormat="0" applyProtection="0">
      <alignment horizontal="left" vertical="top" indent="1"/>
    </xf>
    <xf numFmtId="350" fontId="53" fillId="30" borderId="107" applyNumberFormat="0" applyProtection="0">
      <alignment horizontal="left" vertical="top" indent="1"/>
    </xf>
    <xf numFmtId="350" fontId="272" fillId="34" borderId="107" applyNumberFormat="0" applyProtection="0">
      <alignment horizontal="left" vertical="top" indent="1"/>
    </xf>
    <xf numFmtId="350" fontId="53" fillId="32" borderId="107" applyNumberFormat="0" applyProtection="0">
      <alignment horizontal="left" vertical="top" indent="1"/>
    </xf>
    <xf numFmtId="350" fontId="272" fillId="19" borderId="107" applyNumberFormat="0" applyProtection="0">
      <alignment horizontal="left" vertical="top" indent="1"/>
    </xf>
    <xf numFmtId="350" fontId="93" fillId="31" borderId="109" applyBorder="0"/>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210" fontId="64" fillId="0" borderId="28" applyFill="0"/>
    <xf numFmtId="4" fontId="53" fillId="28" borderId="102" applyNumberFormat="0" applyProtection="0">
      <alignment horizontal="right" vertical="center"/>
    </xf>
    <xf numFmtId="4" fontId="53" fillId="19" borderId="108" applyNumberFormat="0" applyProtection="0">
      <alignment horizontal="left" vertical="center" indent="1"/>
    </xf>
    <xf numFmtId="4" fontId="53" fillId="20" borderId="102" applyNumberFormat="0" applyProtection="0">
      <alignment horizontal="right" vertical="center"/>
    </xf>
    <xf numFmtId="4" fontId="53" fillId="28" borderId="102" applyNumberFormat="0" applyProtection="0">
      <alignment horizontal="right" vertical="center"/>
    </xf>
    <xf numFmtId="350" fontId="184" fillId="129" borderId="106"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142" fillId="14" borderId="102" applyNumberFormat="0" applyAlignment="0" applyProtection="0"/>
    <xf numFmtId="350" fontId="53" fillId="13" borderId="102" applyNumberFormat="0" applyFont="0" applyAlignment="0" applyProtection="0"/>
    <xf numFmtId="4" fontId="53" fillId="18" borderId="102" applyNumberFormat="0" applyProtection="0">
      <alignment vertical="center"/>
    </xf>
    <xf numFmtId="4" fontId="53" fillId="24" borderId="102" applyNumberFormat="0" applyProtection="0">
      <alignment horizontal="right" vertical="center"/>
    </xf>
    <xf numFmtId="4" fontId="53" fillId="30" borderId="108" applyNumberFormat="0" applyProtection="0">
      <alignment horizontal="left" vertical="center"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9" fillId="32" borderId="107" applyNumberFormat="0" applyProtection="0">
      <alignment horizontal="left" vertical="center" indent="1"/>
    </xf>
    <xf numFmtId="350" fontId="53" fillId="32" borderId="107" applyNumberFormat="0" applyProtection="0">
      <alignment horizontal="left" vertical="top" indent="1"/>
    </xf>
    <xf numFmtId="350" fontId="53" fillId="31" borderId="107" applyNumberFormat="0" applyProtection="0">
      <alignment horizontal="left" vertical="top" indent="1"/>
    </xf>
    <xf numFmtId="4" fontId="53" fillId="24" borderId="102" applyNumberFormat="0" applyProtection="0">
      <alignment horizontal="right" vertical="center"/>
    </xf>
    <xf numFmtId="4" fontId="53" fillId="18" borderId="102" applyNumberFormat="0" applyProtection="0">
      <alignment vertical="center"/>
    </xf>
    <xf numFmtId="4" fontId="53" fillId="64" borderId="102" applyNumberFormat="0" applyProtection="0">
      <alignment horizontal="left" vertical="center" indent="1"/>
    </xf>
    <xf numFmtId="4" fontId="53" fillId="45" borderId="102" applyNumberFormat="0" applyProtection="0">
      <alignment horizontal="left" vertical="center" indent="1"/>
    </xf>
    <xf numFmtId="4" fontId="53" fillId="26" borderId="102" applyNumberFormat="0" applyProtection="0">
      <alignment horizontal="right" vertical="center"/>
    </xf>
    <xf numFmtId="4" fontId="9" fillId="31" borderId="108" applyNumberFormat="0" applyProtection="0">
      <alignment horizontal="left" vertical="center" indent="1"/>
    </xf>
    <xf numFmtId="4" fontId="53" fillId="22" borderId="108" applyNumberFormat="0" applyProtection="0">
      <alignment horizontal="right" vertical="center"/>
    </xf>
    <xf numFmtId="4" fontId="53" fillId="30" borderId="108" applyNumberFormat="0" applyProtection="0">
      <alignment horizontal="left" vertical="center" indent="1"/>
    </xf>
    <xf numFmtId="350" fontId="9" fillId="31" borderId="107" applyNumberFormat="0" applyProtection="0">
      <alignment horizontal="left" vertical="center" indent="1"/>
    </xf>
    <xf numFmtId="350" fontId="53" fillId="32" borderId="107" applyNumberFormat="0" applyProtection="0">
      <alignment horizontal="left" vertical="top" indent="1"/>
    </xf>
    <xf numFmtId="4" fontId="9" fillId="31" borderId="108" applyNumberFormat="0" applyProtection="0">
      <alignment horizontal="left" vertical="center" indent="1"/>
    </xf>
    <xf numFmtId="350" fontId="184" fillId="129" borderId="106" applyNumberFormat="0" applyAlignment="0" applyProtection="0"/>
    <xf numFmtId="350" fontId="53" fillId="13" borderId="102" applyNumberFormat="0" applyFont="0" applyAlignment="0" applyProtection="0"/>
    <xf numFmtId="4" fontId="53" fillId="18" borderId="102" applyNumberFormat="0" applyProtection="0">
      <alignment vertical="center"/>
    </xf>
    <xf numFmtId="350" fontId="9" fillId="31" borderId="107" applyNumberFormat="0" applyProtection="0">
      <alignment horizontal="left" vertical="center" indent="1"/>
    </xf>
    <xf numFmtId="350" fontId="53" fillId="30" borderId="107" applyNumberFormat="0" applyProtection="0">
      <alignment horizontal="left" vertical="top" indent="1"/>
    </xf>
    <xf numFmtId="350" fontId="9"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53" fillId="61" borderId="102" applyNumberFormat="0" applyProtection="0">
      <alignment horizontal="left" vertical="center" indent="1"/>
    </xf>
    <xf numFmtId="4" fontId="53" fillId="26" borderId="102" applyNumberFormat="0" applyProtection="0">
      <alignment horizontal="right" vertical="center"/>
    </xf>
    <xf numFmtId="4" fontId="53" fillId="45" borderId="102" applyNumberFormat="0" applyProtection="0">
      <alignment horizontal="left" vertical="center" indent="1"/>
    </xf>
    <xf numFmtId="350" fontId="53" fillId="13" borderId="102" applyNumberFormat="0" applyFont="0" applyAlignment="0" applyProtection="0"/>
    <xf numFmtId="350" fontId="142" fillId="14" borderId="102" applyNumberForma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4" fontId="53" fillId="25" borderId="102" applyNumberFormat="0" applyProtection="0">
      <alignment horizontal="right" vertical="center"/>
    </xf>
    <xf numFmtId="350" fontId="271" fillId="18" borderId="107" applyNumberFormat="0" applyProtection="0">
      <alignment horizontal="left" vertical="top" indent="1"/>
    </xf>
    <xf numFmtId="4" fontId="53" fillId="19" borderId="102" applyNumberFormat="0" applyProtection="0">
      <alignment horizontal="right" vertical="center"/>
    </xf>
    <xf numFmtId="4" fontId="53" fillId="26" borderId="102" applyNumberFormat="0" applyProtection="0">
      <alignment horizontal="right" vertical="center"/>
    </xf>
    <xf numFmtId="4" fontId="53" fillId="24" borderId="102" applyNumberFormat="0" applyProtection="0">
      <alignment horizontal="right" vertical="center"/>
    </xf>
    <xf numFmtId="350" fontId="53" fillId="31" borderId="107" applyNumberFormat="0" applyProtection="0">
      <alignment horizontal="left" vertical="top" indent="1"/>
    </xf>
    <xf numFmtId="350" fontId="268" fillId="129" borderId="102" applyNumberFormat="0" applyAlignment="0" applyProtection="0"/>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4" fontId="270" fillId="50" borderId="102" applyNumberFormat="0" applyProtection="0">
      <alignment horizontal="right" vertical="center"/>
    </xf>
    <xf numFmtId="350" fontId="15" fillId="0" borderId="111" applyNumberFormat="0" applyFill="0" applyAlignment="0" applyProtection="0"/>
    <xf numFmtId="4" fontId="272" fillId="34" borderId="107" applyNumberFormat="0" applyProtection="0">
      <alignment vertical="center"/>
    </xf>
    <xf numFmtId="350" fontId="53" fillId="30" borderId="107" applyNumberFormat="0" applyProtection="0">
      <alignment horizontal="left" vertical="top" indent="1"/>
    </xf>
    <xf numFmtId="350" fontId="93" fillId="31" borderId="109" applyBorder="0"/>
    <xf numFmtId="4" fontId="53" fillId="0" borderId="102" applyNumberFormat="0" applyProtection="0">
      <alignment horizontal="right" vertical="center"/>
    </xf>
    <xf numFmtId="350" fontId="53" fillId="30" borderId="107" applyNumberFormat="0" applyProtection="0">
      <alignment horizontal="left" vertical="top" indent="1"/>
    </xf>
    <xf numFmtId="4" fontId="53" fillId="28" borderId="102" applyNumberFormat="0" applyProtection="0">
      <alignment horizontal="right" vertical="center"/>
    </xf>
    <xf numFmtId="350" fontId="53" fillId="61" borderId="102" applyNumberFormat="0" applyProtection="0">
      <alignment horizontal="left" vertical="center"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4" fontId="274" fillId="33" borderId="102" applyNumberFormat="0" applyProtection="0">
      <alignment horizontal="right" vertical="center"/>
    </xf>
    <xf numFmtId="350" fontId="142" fillId="14" borderId="102" applyNumberFormat="0" applyAlignment="0" applyProtection="0"/>
    <xf numFmtId="350" fontId="53" fillId="32" borderId="107" applyNumberFormat="0" applyProtection="0">
      <alignment horizontal="left" vertical="top" indent="1"/>
    </xf>
    <xf numFmtId="350" fontId="142" fillId="14" borderId="102" applyNumberFormat="0" applyAlignment="0" applyProtection="0"/>
    <xf numFmtId="350" fontId="53" fillId="83" borderId="102" applyNumberFormat="0" applyProtection="0">
      <alignment horizontal="left" vertical="center" indent="1"/>
    </xf>
    <xf numFmtId="350" fontId="53" fillId="31" borderId="107" applyNumberFormat="0" applyProtection="0">
      <alignment horizontal="left" vertical="top" indent="1"/>
    </xf>
    <xf numFmtId="4" fontId="53" fillId="30" borderId="108" applyNumberFormat="0" applyProtection="0">
      <alignment horizontal="left" vertical="center" indent="1"/>
    </xf>
    <xf numFmtId="4" fontId="53" fillId="26" borderId="102" applyNumberFormat="0" applyProtection="0">
      <alignment horizontal="right" vertical="center"/>
    </xf>
    <xf numFmtId="4" fontId="53" fillId="64" borderId="102" applyNumberFormat="0" applyProtection="0">
      <alignment horizontal="left" vertical="center" indent="1"/>
    </xf>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53" fillId="13" borderId="102" applyNumberFormat="0" applyFont="0" applyAlignment="0" applyProtection="0"/>
    <xf numFmtId="350" fontId="93" fillId="31" borderId="109" applyBorder="0"/>
    <xf numFmtId="4" fontId="53" fillId="22" borderId="108" applyNumberFormat="0" applyProtection="0">
      <alignment horizontal="right" vertical="center"/>
    </xf>
    <xf numFmtId="350" fontId="53" fillId="30" borderId="107" applyNumberFormat="0" applyProtection="0">
      <alignment horizontal="left" vertical="top" indent="1"/>
    </xf>
    <xf numFmtId="4" fontId="53" fillId="19" borderId="108" applyNumberFormat="0" applyProtection="0">
      <alignment horizontal="left" vertical="center" indent="1"/>
    </xf>
    <xf numFmtId="350" fontId="53" fillId="31" borderId="107" applyNumberFormat="0" applyProtection="0">
      <alignment horizontal="left" vertical="top" indent="1"/>
    </xf>
    <xf numFmtId="350" fontId="9" fillId="19" borderId="107" applyNumberFormat="0" applyProtection="0">
      <alignment horizontal="left" vertical="center" indent="1"/>
    </xf>
    <xf numFmtId="350" fontId="53" fillId="19" borderId="107" applyNumberFormat="0" applyProtection="0">
      <alignment horizontal="left" vertical="top" indent="1"/>
    </xf>
    <xf numFmtId="350" fontId="9" fillId="32"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4" fontId="273" fillId="35" borderId="108" applyNumberFormat="0" applyProtection="0">
      <alignment horizontal="left" vertical="center" indent="1"/>
    </xf>
    <xf numFmtId="4" fontId="270" fillId="50" borderId="102" applyNumberFormat="0" applyProtection="0">
      <alignment horizontal="right" vertical="center"/>
    </xf>
    <xf numFmtId="350" fontId="53" fillId="13" borderId="102" applyNumberFormat="0" applyFont="0" applyAlignment="0" applyProtection="0"/>
    <xf numFmtId="4" fontId="274" fillId="33" borderId="102" applyNumberFormat="0" applyProtection="0">
      <alignment horizontal="right" vertical="center"/>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4" fontId="53" fillId="30" borderId="108" applyNumberFormat="0" applyProtection="0">
      <alignment horizontal="left" vertical="center" indent="1"/>
    </xf>
    <xf numFmtId="4" fontId="53" fillId="132" borderId="102" applyNumberFormat="0" applyProtection="0">
      <alignment horizontal="right" vertical="center"/>
    </xf>
    <xf numFmtId="350" fontId="53" fillId="32" borderId="107" applyNumberFormat="0" applyProtection="0">
      <alignment horizontal="left" vertical="top" indent="1"/>
    </xf>
    <xf numFmtId="350" fontId="53" fillId="13" borderId="102" applyNumberFormat="0" applyFont="0" applyAlignment="0" applyProtection="0"/>
    <xf numFmtId="350" fontId="53" fillId="13" borderId="102" applyNumberFormat="0" applyFont="0" applyAlignment="0" applyProtection="0"/>
    <xf numFmtId="350" fontId="53" fillId="32" borderId="102" applyNumberFormat="0" applyProtection="0">
      <alignment horizontal="left" vertical="center"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4" fontId="270" fillId="50" borderId="102" applyNumberFormat="0" applyProtection="0">
      <alignment horizontal="right" vertical="center"/>
    </xf>
    <xf numFmtId="350" fontId="53" fillId="13" borderId="102" applyNumberFormat="0" applyFont="0" applyAlignment="0" applyProtection="0"/>
    <xf numFmtId="4" fontId="53" fillId="22" borderId="108" applyNumberFormat="0" applyProtection="0">
      <alignment horizontal="right" vertical="center"/>
    </xf>
    <xf numFmtId="4" fontId="53" fillId="24" borderId="102" applyNumberFormat="0" applyProtection="0">
      <alignment horizontal="right" vertical="center"/>
    </xf>
    <xf numFmtId="4" fontId="53" fillId="29" borderId="108" applyNumberFormat="0" applyProtection="0">
      <alignment horizontal="left" vertical="center" indent="1"/>
    </xf>
    <xf numFmtId="350" fontId="9" fillId="31" borderId="107" applyNumberFormat="0" applyProtection="0">
      <alignment horizontal="left" vertical="center" indent="1"/>
    </xf>
    <xf numFmtId="350" fontId="53" fillId="31" borderId="107" applyNumberFormat="0" applyProtection="0">
      <alignment horizontal="left" vertical="top" indent="1"/>
    </xf>
    <xf numFmtId="350" fontId="9" fillId="19"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0" borderId="102" applyNumberFormat="0" applyProtection="0">
      <alignment horizontal="left" vertical="center"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7" fontId="64" fillId="0" borderId="110" applyNumberFormat="0"/>
    <xf numFmtId="4" fontId="274" fillId="33" borderId="102" applyNumberFormat="0" applyProtection="0">
      <alignment horizontal="right" vertical="center"/>
    </xf>
    <xf numFmtId="350" fontId="53" fillId="19" borderId="107" applyNumberFormat="0" applyProtection="0">
      <alignment horizontal="left" vertical="top" indent="1"/>
    </xf>
    <xf numFmtId="350" fontId="272" fillId="19" borderId="107" applyNumberFormat="0" applyProtection="0">
      <alignment horizontal="left" vertical="top" indent="1"/>
    </xf>
    <xf numFmtId="350" fontId="53" fillId="30" borderId="107" applyNumberFormat="0" applyProtection="0">
      <alignment horizontal="left" vertical="top" indent="1"/>
    </xf>
    <xf numFmtId="350" fontId="9" fillId="32" borderId="107" applyNumberFormat="0" applyProtection="0">
      <alignment horizontal="left" vertical="center" indent="1"/>
    </xf>
    <xf numFmtId="350" fontId="9" fillId="19" borderId="107" applyNumberFormat="0" applyProtection="0">
      <alignment horizontal="left" vertical="center" indent="1"/>
    </xf>
    <xf numFmtId="350" fontId="53" fillId="31" borderId="107" applyNumberFormat="0" applyProtection="0">
      <alignment horizontal="left" vertical="top" indent="1"/>
    </xf>
    <xf numFmtId="4" fontId="9" fillId="31" borderId="108" applyNumberFormat="0" applyProtection="0">
      <alignment horizontal="left" vertical="center" indent="1"/>
    </xf>
    <xf numFmtId="4" fontId="53" fillId="64" borderId="102" applyNumberFormat="0" applyProtection="0">
      <alignment horizontal="left" vertical="center" indent="1"/>
    </xf>
    <xf numFmtId="350" fontId="53" fillId="31" borderId="107" applyNumberFormat="0" applyProtection="0">
      <alignment horizontal="left" vertical="top" indent="1"/>
    </xf>
    <xf numFmtId="350" fontId="53" fillId="13" borderId="102" applyNumberFormat="0" applyFont="0" applyAlignment="0" applyProtection="0"/>
    <xf numFmtId="4" fontId="270" fillId="50" borderId="102" applyNumberFormat="0" applyProtection="0">
      <alignment horizontal="right" vertical="center"/>
    </xf>
    <xf numFmtId="350" fontId="9" fillId="30" borderId="107" applyNumberFormat="0" applyProtection="0">
      <alignment horizontal="left" vertical="top" indent="1"/>
    </xf>
    <xf numFmtId="350" fontId="53" fillId="19" borderId="107" applyNumberFormat="0" applyProtection="0">
      <alignment horizontal="left" vertical="top" indent="1"/>
    </xf>
    <xf numFmtId="4" fontId="53" fillId="29" borderId="108" applyNumberFormat="0" applyProtection="0">
      <alignment horizontal="left" vertical="center" indent="1"/>
    </xf>
    <xf numFmtId="4" fontId="53" fillId="22" borderId="108" applyNumberFormat="0" applyProtection="0">
      <alignment horizontal="right" vertical="center"/>
    </xf>
    <xf numFmtId="4" fontId="272" fillId="61" borderId="107" applyNumberFormat="0" applyProtection="0">
      <alignment horizontal="left" vertical="center" indent="1"/>
    </xf>
    <xf numFmtId="350" fontId="15" fillId="0" borderId="111" applyNumberFormat="0" applyFill="0" applyAlignment="0" applyProtection="0"/>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0" borderId="107" applyNumberFormat="0" applyProtection="0">
      <alignment horizontal="left" vertical="top" indent="1"/>
    </xf>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268" fillId="129" borderId="102" applyNumberFormat="0" applyAlignment="0" applyProtection="0"/>
    <xf numFmtId="350" fontId="53" fillId="13" borderId="102" applyNumberFormat="0" applyFont="0" applyAlignment="0" applyProtection="0"/>
    <xf numFmtId="4" fontId="270" fillId="45" borderId="102" applyNumberFormat="0" applyProtection="0">
      <alignment vertical="center"/>
    </xf>
    <xf numFmtId="4" fontId="53" fillId="27" borderId="102" applyNumberFormat="0" applyProtection="0">
      <alignment horizontal="right" vertical="center"/>
    </xf>
    <xf numFmtId="350" fontId="53" fillId="31" borderId="107" applyNumberFormat="0" applyProtection="0">
      <alignment horizontal="left" vertical="top" indent="1"/>
    </xf>
    <xf numFmtId="350" fontId="53" fillId="31" borderId="107" applyNumberFormat="0" applyProtection="0">
      <alignment horizontal="left" vertical="top"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272" fillId="34" borderId="107" applyNumberFormat="0" applyProtection="0">
      <alignment horizontal="left" vertical="top" indent="1"/>
    </xf>
    <xf numFmtId="350" fontId="15" fillId="0" borderId="111" applyNumberFormat="0" applyFill="0" applyAlignment="0" applyProtection="0"/>
    <xf numFmtId="350" fontId="53" fillId="30" borderId="107" applyNumberFormat="0" applyProtection="0">
      <alignment horizontal="left" vertical="top" indent="1"/>
    </xf>
    <xf numFmtId="350" fontId="53" fillId="32" borderId="102" applyNumberFormat="0" applyProtection="0">
      <alignment horizontal="left" vertical="center"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9" fillId="31" borderId="107" applyNumberFormat="0" applyProtection="0">
      <alignment horizontal="left" vertical="top" indent="1"/>
    </xf>
    <xf numFmtId="4" fontId="9" fillId="31" borderId="108" applyNumberFormat="0" applyProtection="0">
      <alignment horizontal="left" vertical="center" indent="1"/>
    </xf>
    <xf numFmtId="4" fontId="53" fillId="26" borderId="102" applyNumberFormat="0" applyProtection="0">
      <alignment horizontal="right" vertical="center"/>
    </xf>
    <xf numFmtId="350" fontId="53" fillId="13" borderId="102" applyNumberFormat="0" applyFont="0" applyAlignment="0" applyProtection="0"/>
    <xf numFmtId="4" fontId="53" fillId="18" borderId="102" applyNumberFormat="0" applyProtection="0">
      <alignment vertical="center"/>
    </xf>
    <xf numFmtId="4" fontId="53" fillId="29" borderId="108" applyNumberFormat="0" applyProtection="0">
      <alignment horizontal="left" vertical="center" indent="1"/>
    </xf>
    <xf numFmtId="350" fontId="9" fillId="31" borderId="107" applyNumberFormat="0" applyProtection="0">
      <alignment horizontal="left" vertical="center" indent="1"/>
    </xf>
    <xf numFmtId="350" fontId="9" fillId="19" borderId="107" applyNumberFormat="0" applyProtection="0">
      <alignment horizontal="left" vertical="top" indent="1"/>
    </xf>
    <xf numFmtId="350" fontId="53" fillId="13" borderId="102" applyNumberFormat="0" applyFont="0" applyAlignment="0" applyProtection="0"/>
    <xf numFmtId="210" fontId="64" fillId="0" borderId="28" applyFill="0"/>
    <xf numFmtId="350" fontId="53" fillId="30" borderId="107" applyNumberFormat="0" applyProtection="0">
      <alignment horizontal="left" vertical="top"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53" fillId="31" borderId="107" applyNumberFormat="0" applyProtection="0">
      <alignment horizontal="left" vertical="top" indent="1"/>
    </xf>
    <xf numFmtId="4" fontId="53" fillId="19" borderId="102" applyNumberFormat="0" applyProtection="0">
      <alignment horizontal="right" vertical="center"/>
    </xf>
    <xf numFmtId="4" fontId="53" fillId="45" borderId="102" applyNumberFormat="0" applyProtection="0">
      <alignment horizontal="left" vertical="center" indent="1"/>
    </xf>
    <xf numFmtId="4" fontId="270" fillId="50" borderId="102" applyNumberFormat="0" applyProtection="0">
      <alignment horizontal="right" vertical="center"/>
    </xf>
    <xf numFmtId="350" fontId="53" fillId="30" borderId="107" applyNumberFormat="0" applyProtection="0">
      <alignment horizontal="left" vertical="top" indent="1"/>
    </xf>
    <xf numFmtId="350" fontId="272" fillId="19" borderId="107" applyNumberFormat="0" applyProtection="0">
      <alignment horizontal="left" vertical="top" indent="1"/>
    </xf>
    <xf numFmtId="4" fontId="274" fillId="33" borderId="102" applyNumberFormat="0" applyProtection="0">
      <alignment horizontal="right" vertical="center"/>
    </xf>
    <xf numFmtId="4" fontId="272" fillId="61" borderId="107" applyNumberFormat="0" applyProtection="0">
      <alignment horizontal="left" vertical="center" indent="1"/>
    </xf>
    <xf numFmtId="350" fontId="9" fillId="30" borderId="107" applyNumberFormat="0" applyProtection="0">
      <alignment horizontal="left" vertical="center" indent="1"/>
    </xf>
    <xf numFmtId="350" fontId="53" fillId="32" borderId="107" applyNumberFormat="0" applyProtection="0">
      <alignment horizontal="left" vertical="top" indent="1"/>
    </xf>
    <xf numFmtId="350" fontId="53" fillId="19" borderId="107" applyNumberFormat="0" applyProtection="0">
      <alignment horizontal="left" vertical="top" indent="1"/>
    </xf>
    <xf numFmtId="350" fontId="53" fillId="19" borderId="107" applyNumberFormat="0" applyProtection="0">
      <alignment horizontal="left" vertical="top" indent="1"/>
    </xf>
    <xf numFmtId="350" fontId="53" fillId="31" borderId="107" applyNumberFormat="0" applyProtection="0">
      <alignment horizontal="left" vertical="top" indent="1"/>
    </xf>
    <xf numFmtId="350" fontId="9" fillId="30" borderId="107" applyNumberFormat="0" applyProtection="0">
      <alignment horizontal="left" vertical="top" indent="1"/>
    </xf>
    <xf numFmtId="4" fontId="9" fillId="31" borderId="108" applyNumberFormat="0" applyProtection="0">
      <alignment horizontal="left" vertical="center" indent="1"/>
    </xf>
    <xf numFmtId="350" fontId="9" fillId="31" borderId="107" applyNumberFormat="0" applyProtection="0">
      <alignment horizontal="left" vertical="top" indent="1"/>
    </xf>
    <xf numFmtId="4" fontId="53" fillId="22" borderId="108" applyNumberFormat="0" applyProtection="0">
      <alignment horizontal="right" vertical="center"/>
    </xf>
    <xf numFmtId="350" fontId="53" fillId="61" borderId="102" applyNumberFormat="0" applyProtection="0">
      <alignment horizontal="left" vertical="center" indent="1"/>
    </xf>
    <xf numFmtId="4" fontId="53" fillId="45" borderId="102" applyNumberFormat="0" applyProtection="0">
      <alignment horizontal="left" vertical="center" indent="1"/>
    </xf>
    <xf numFmtId="350" fontId="53" fillId="13" borderId="102" applyNumberFormat="0" applyFont="0" applyAlignment="0" applyProtection="0"/>
    <xf numFmtId="350" fontId="53" fillId="13" borderId="102" applyNumberFormat="0" applyFont="0" applyAlignment="0" applyProtection="0"/>
    <xf numFmtId="350" fontId="268" fillId="129" borderId="102" applyNumberFormat="0" applyAlignment="0" applyProtection="0"/>
    <xf numFmtId="350" fontId="53" fillId="13" borderId="102" applyNumberFormat="0" applyFont="0" applyAlignment="0" applyProtection="0"/>
    <xf numFmtId="4" fontId="53" fillId="20" borderId="102" applyNumberFormat="0" applyProtection="0">
      <alignment horizontal="right" vertical="center"/>
    </xf>
    <xf numFmtId="4" fontId="53" fillId="29" borderId="108" applyNumberFormat="0" applyProtection="0">
      <alignment horizontal="left" vertical="center" indent="1"/>
    </xf>
    <xf numFmtId="350" fontId="9" fillId="31" borderId="107" applyNumberFormat="0" applyProtection="0">
      <alignment horizontal="left" vertical="top" indent="1"/>
    </xf>
    <xf numFmtId="350" fontId="53" fillId="83" borderId="102" applyNumberFormat="0" applyProtection="0">
      <alignment horizontal="left" vertical="center" indent="1"/>
    </xf>
    <xf numFmtId="350" fontId="53" fillId="19" borderId="107" applyNumberFormat="0" applyProtection="0">
      <alignment horizontal="left" vertical="top" indent="1"/>
    </xf>
    <xf numFmtId="350" fontId="53" fillId="32" borderId="107" applyNumberFormat="0" applyProtection="0">
      <alignment horizontal="left" vertical="top" indent="1"/>
    </xf>
    <xf numFmtId="350" fontId="53" fillId="31" borderId="107" applyNumberFormat="0" applyProtection="0">
      <alignment horizontal="left" vertical="top" indent="1"/>
    </xf>
    <xf numFmtId="4" fontId="53" fillId="28" borderId="102" applyNumberFormat="0" applyProtection="0">
      <alignment horizontal="right" vertical="center"/>
    </xf>
    <xf numFmtId="4" fontId="53" fillId="27" borderId="102" applyNumberFormat="0" applyProtection="0">
      <alignment horizontal="right" vertical="center"/>
    </xf>
    <xf numFmtId="350" fontId="53" fillId="31" borderId="107" applyNumberFormat="0" applyProtection="0">
      <alignment horizontal="left" vertical="top" indent="1"/>
    </xf>
    <xf numFmtId="350" fontId="53" fillId="32" borderId="107" applyNumberFormat="0" applyProtection="0">
      <alignment horizontal="left" vertical="top" indent="1"/>
    </xf>
    <xf numFmtId="350" fontId="268" fillId="129" borderId="102" applyNumberFormat="0" applyAlignment="0" applyProtection="0"/>
    <xf numFmtId="350" fontId="53" fillId="19" borderId="107" applyNumberFormat="0" applyProtection="0">
      <alignment horizontal="left" vertical="top" indent="1"/>
    </xf>
    <xf numFmtId="350" fontId="53" fillId="30" borderId="107" applyNumberFormat="0" applyProtection="0">
      <alignment horizontal="left" vertical="top" indent="1"/>
    </xf>
    <xf numFmtId="4" fontId="53" fillId="64" borderId="102" applyNumberFormat="0" applyProtection="0">
      <alignment horizontal="left" vertical="center" indent="1"/>
    </xf>
    <xf numFmtId="4" fontId="53" fillId="0" borderId="102" applyNumberFormat="0" applyProtection="0">
      <alignment horizontal="right" vertical="center"/>
    </xf>
    <xf numFmtId="350" fontId="53" fillId="13" borderId="102" applyNumberFormat="0" applyFont="0" applyAlignment="0" applyProtection="0"/>
    <xf numFmtId="350" fontId="142" fillId="14" borderId="102" applyNumberFormat="0" applyAlignment="0" applyProtection="0"/>
    <xf numFmtId="350" fontId="271" fillId="18" borderId="107" applyNumberFormat="0" applyProtection="0">
      <alignment horizontal="left" vertical="top" indent="1"/>
    </xf>
    <xf numFmtId="350" fontId="53" fillId="13" borderId="102" applyNumberFormat="0" applyFont="0" applyAlignment="0" applyProtection="0"/>
    <xf numFmtId="350" fontId="53" fillId="30" borderId="102" applyNumberFormat="0" applyProtection="0">
      <alignment horizontal="left" vertical="center" indent="1"/>
    </xf>
    <xf numFmtId="164" fontId="12" fillId="0" borderId="0" applyFont="0" applyFill="0" applyBorder="0" applyAlignment="0" applyProtection="0"/>
    <xf numFmtId="164" fontId="12" fillId="0" borderId="0" applyFont="0" applyFill="0" applyBorder="0" applyAlignment="0" applyProtection="0"/>
    <xf numFmtId="350" fontId="268" fillId="129" borderId="102" applyNumberFormat="0" applyAlignment="0" applyProtection="0"/>
    <xf numFmtId="4" fontId="270" fillId="50" borderId="102" applyNumberFormat="0" applyProtection="0">
      <alignment horizontal="right" vertical="center"/>
    </xf>
    <xf numFmtId="350" fontId="142" fillId="14" borderId="102" applyNumberFormat="0" applyAlignment="0" applyProtection="0"/>
    <xf numFmtId="164" fontId="12" fillId="0" borderId="0" applyFont="0" applyFill="0" applyBorder="0" applyAlignment="0" applyProtection="0"/>
    <xf numFmtId="350" fontId="268" fillId="129" borderId="102" applyNumberFormat="0" applyAlignment="0" applyProtection="0"/>
    <xf numFmtId="4" fontId="53" fillId="45" borderId="102" applyNumberFormat="0" applyProtection="0">
      <alignment horizontal="left" vertical="center" indent="1"/>
    </xf>
    <xf numFmtId="350" fontId="142" fillId="14" borderId="102" applyNumberFormat="0" applyAlignment="0" applyProtection="0"/>
    <xf numFmtId="4" fontId="53" fillId="64" borderId="102" applyNumberFormat="0" applyProtection="0">
      <alignment horizontal="left" vertical="center" indent="1"/>
    </xf>
    <xf numFmtId="4" fontId="53" fillId="26" borderId="102" applyNumberFormat="0" applyProtection="0">
      <alignment horizontal="right" vertical="center"/>
    </xf>
    <xf numFmtId="164" fontId="12" fillId="0" borderId="0" applyFont="0" applyFill="0" applyBorder="0" applyAlignment="0" applyProtection="0"/>
    <xf numFmtId="4" fontId="274" fillId="33" borderId="102" applyNumberFormat="0" applyProtection="0">
      <alignment horizontal="right" vertical="center"/>
    </xf>
    <xf numFmtId="4" fontId="53" fillId="23" borderId="102" applyNumberFormat="0" applyProtection="0">
      <alignment horizontal="right" vertical="center"/>
    </xf>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cellStyleXfs>
  <cellXfs count="1127">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5" fillId="0" borderId="0" xfId="75" applyFont="1" applyProtection="1">
      <protection locked="0"/>
    </xf>
    <xf numFmtId="0" fontId="8" fillId="0" borderId="0" xfId="0" applyFont="1" applyAlignment="1">
      <alignment horizontal="left" vertical="top"/>
    </xf>
    <xf numFmtId="0" fontId="8" fillId="0" borderId="0" xfId="0" applyFont="1"/>
    <xf numFmtId="0" fontId="26" fillId="0" borderId="0" xfId="0" applyFont="1"/>
    <xf numFmtId="0" fontId="27" fillId="0" borderId="0" xfId="0" applyFont="1"/>
    <xf numFmtId="0" fontId="10" fillId="42" borderId="0" xfId="7" applyFont="1" applyFill="1"/>
    <xf numFmtId="0" fontId="9" fillId="42" borderId="0" xfId="88" applyFill="1"/>
    <xf numFmtId="0" fontId="0" fillId="0" borderId="0" xfId="0" applyAlignment="1">
      <alignment horizontal="center" vertical="top" wrapText="1"/>
    </xf>
    <xf numFmtId="0" fontId="24" fillId="0" borderId="0" xfId="75" applyFont="1"/>
    <xf numFmtId="0" fontId="33" fillId="0" borderId="0" xfId="75" applyFont="1"/>
    <xf numFmtId="0" fontId="32" fillId="47" borderId="0" xfId="75" applyFont="1" applyFill="1"/>
    <xf numFmtId="0" fontId="30" fillId="47" borderId="0" xfId="90" applyFont="1" applyFill="1" applyAlignment="1">
      <alignment horizontal="left"/>
    </xf>
    <xf numFmtId="0" fontId="24" fillId="0" borderId="0" xfId="93" applyFont="1"/>
    <xf numFmtId="0" fontId="31" fillId="0" borderId="0" xfId="75" applyFont="1"/>
    <xf numFmtId="0" fontId="32" fillId="0" borderId="0" xfId="75" applyFont="1"/>
    <xf numFmtId="0" fontId="35" fillId="47" borderId="0" xfId="90" applyFont="1" applyFill="1" applyAlignment="1">
      <alignment horizontal="left"/>
    </xf>
    <xf numFmtId="0" fontId="0" fillId="42" borderId="0" xfId="0" applyFill="1" applyAlignment="1">
      <alignment horizontal="right" vertical="top"/>
    </xf>
    <xf numFmtId="0" fontId="30" fillId="0" borderId="0" xfId="90" applyFont="1" applyAlignment="1">
      <alignment horizontal="left"/>
    </xf>
    <xf numFmtId="0" fontId="0" fillId="42" borderId="0" xfId="0" applyFill="1"/>
    <xf numFmtId="168" fontId="10" fillId="3" borderId="0" xfId="0" applyNumberFormat="1" applyFont="1" applyFill="1" applyAlignment="1">
      <alignment vertical="center"/>
    </xf>
    <xf numFmtId="0" fontId="0" fillId="0" borderId="0" xfId="0" applyAlignment="1">
      <alignment vertical="center"/>
    </xf>
    <xf numFmtId="173" fontId="0" fillId="0" borderId="0" xfId="0" applyNumberFormat="1" applyAlignment="1">
      <alignment horizontal="right" vertical="top"/>
    </xf>
    <xf numFmtId="0" fontId="0" fillId="0" borderId="0" xfId="0" applyAlignment="1">
      <alignment horizontal="center" wrapText="1"/>
    </xf>
    <xf numFmtId="0" fontId="26" fillId="0" borderId="0" xfId="0" applyFont="1" applyAlignment="1">
      <alignment horizontal="right" indent="1"/>
    </xf>
    <xf numFmtId="10" fontId="0" fillId="0" borderId="0" xfId="0" applyNumberFormat="1" applyAlignment="1">
      <alignment horizontal="right" vertical="top"/>
    </xf>
    <xf numFmtId="165" fontId="0" fillId="0" borderId="0" xfId="0" applyNumberFormat="1" applyAlignment="1">
      <alignment horizontal="left" vertical="top"/>
    </xf>
    <xf numFmtId="0" fontId="42" fillId="0" borderId="0" xfId="0" applyFont="1" applyAlignment="1">
      <alignment horizontal="center"/>
    </xf>
    <xf numFmtId="0" fontId="0" fillId="0" borderId="0" xfId="0" applyAlignment="1">
      <alignment horizontal="center" vertical="center" wrapText="1"/>
    </xf>
    <xf numFmtId="0" fontId="10" fillId="0" borderId="0" xfId="7" applyFont="1" applyAlignment="1">
      <alignment horizontal="center"/>
    </xf>
    <xf numFmtId="0" fontId="0" fillId="53" borderId="0" xfId="0" applyFill="1" applyAlignment="1">
      <alignment horizontal="left" vertical="top"/>
    </xf>
    <xf numFmtId="0" fontId="0" fillId="53" borderId="0" xfId="0" applyFill="1" applyAlignment="1">
      <alignment horizontal="center" vertical="top"/>
    </xf>
    <xf numFmtId="0" fontId="8" fillId="53" borderId="0" xfId="0" applyFont="1" applyFill="1" applyAlignment="1">
      <alignment horizontal="left" vertical="top"/>
    </xf>
    <xf numFmtId="1" fontId="8" fillId="2" borderId="68" xfId="0" applyNumberFormat="1" applyFont="1" applyFill="1" applyBorder="1" applyAlignment="1">
      <alignment horizontal="center" vertical="center"/>
    </xf>
    <xf numFmtId="1" fontId="8" fillId="2" borderId="69" xfId="0" applyNumberFormat="1" applyFont="1" applyFill="1" applyBorder="1" applyAlignment="1">
      <alignment horizontal="center" vertical="center"/>
    </xf>
    <xf numFmtId="0" fontId="32" fillId="47" borderId="11" xfId="75" applyFont="1" applyFill="1" applyBorder="1"/>
    <xf numFmtId="0" fontId="0" fillId="0" borderId="0" xfId="0" applyAlignment="1">
      <alignment horizontal="left" vertical="top" indent="1"/>
    </xf>
    <xf numFmtId="0" fontId="0" fillId="0" borderId="0" xfId="0" applyAlignment="1">
      <alignment horizontal="left" vertical="top" wrapText="1" indent="1"/>
    </xf>
    <xf numFmtId="0" fontId="30" fillId="47" borderId="0" xfId="90" applyFont="1" applyFill="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5" fillId="47" borderId="0" xfId="90" applyFont="1" applyFill="1" applyAlignment="1">
      <alignment horizontal="center" vertical="center"/>
    </xf>
    <xf numFmtId="0" fontId="8" fillId="0" borderId="0" xfId="0" applyFont="1" applyAlignment="1">
      <alignment horizontal="center" vertical="center" wrapText="1"/>
    </xf>
    <xf numFmtId="0" fontId="0" fillId="0" borderId="0" xfId="0" applyAlignment="1">
      <alignment horizontal="right" vertical="top" indent="1"/>
    </xf>
    <xf numFmtId="1" fontId="0" fillId="0" borderId="0" xfId="0" applyNumberFormat="1" applyAlignment="1">
      <alignment horizontal="right"/>
    </xf>
    <xf numFmtId="170" fontId="0" fillId="0" borderId="0" xfId="0" applyNumberFormat="1"/>
    <xf numFmtId="0" fontId="0" fillId="0" borderId="0" xfId="0" applyAlignment="1">
      <alignment horizontal="left" indent="1"/>
    </xf>
    <xf numFmtId="0" fontId="8" fillId="0" borderId="0" xfId="0" applyFont="1" applyAlignment="1">
      <alignment horizontal="left" vertical="center" indent="1"/>
    </xf>
    <xf numFmtId="0" fontId="0" fillId="0" borderId="0" xfId="0" applyAlignment="1">
      <alignment horizontal="center"/>
    </xf>
    <xf numFmtId="0" fontId="0" fillId="0" borderId="0" xfId="0" applyAlignment="1">
      <alignment horizontal="right"/>
    </xf>
    <xf numFmtId="1" fontId="0" fillId="0" borderId="0" xfId="0" applyNumberFormat="1" applyAlignment="1">
      <alignment horizontal="center"/>
    </xf>
    <xf numFmtId="0" fontId="0" fillId="0" borderId="0" xfId="0" applyAlignment="1">
      <alignment wrapText="1"/>
    </xf>
    <xf numFmtId="1" fontId="0" fillId="0" borderId="0" xfId="0" applyNumberFormat="1" applyAlignment="1">
      <alignment horizontal="center" vertical="top"/>
    </xf>
    <xf numFmtId="1" fontId="8" fillId="0" borderId="0" xfId="0" applyNumberFormat="1" applyFont="1" applyAlignment="1">
      <alignment horizontal="center" vertical="top"/>
    </xf>
    <xf numFmtId="173" fontId="0" fillId="0" borderId="0" xfId="0" applyNumberFormat="1"/>
    <xf numFmtId="14" fontId="0" fillId="0" borderId="0" xfId="0" applyNumberFormat="1"/>
    <xf numFmtId="0" fontId="0" fillId="53" borderId="0" xfId="0" applyFill="1"/>
    <xf numFmtId="0" fontId="30" fillId="47" borderId="0" xfId="90" applyFont="1" applyFill="1" applyAlignment="1">
      <alignment horizontal="center"/>
    </xf>
    <xf numFmtId="0" fontId="0" fillId="42" borderId="0" xfId="0" applyFill="1" applyAlignment="1">
      <alignment horizontal="center" vertical="top"/>
    </xf>
    <xf numFmtId="0" fontId="27" fillId="0" borderId="0" xfId="0" applyFont="1" applyAlignment="1">
      <alignment horizontal="center"/>
    </xf>
    <xf numFmtId="0" fontId="8" fillId="0" borderId="0" xfId="0" applyFont="1" applyAlignment="1" applyProtection="1">
      <alignment horizontal="center" vertical="center"/>
      <protection locked="0"/>
    </xf>
    <xf numFmtId="252" fontId="0" fillId="0" borderId="0" xfId="0" applyNumberFormat="1" applyAlignment="1" applyProtection="1">
      <alignment horizontal="center" vertical="center"/>
      <protection locked="0"/>
    </xf>
    <xf numFmtId="0" fontId="32" fillId="47" borderId="80" xfId="75" applyFont="1" applyFill="1" applyBorder="1"/>
    <xf numFmtId="0" fontId="244" fillId="0" borderId="0" xfId="90" applyFont="1" applyAlignment="1">
      <alignment horizontal="left"/>
    </xf>
    <xf numFmtId="0" fontId="245" fillId="0" borderId="0" xfId="0" applyFont="1"/>
    <xf numFmtId="0" fontId="246" fillId="0" borderId="0" xfId="75" applyFont="1"/>
    <xf numFmtId="0" fontId="29" fillId="0" borderId="0" xfId="0" applyFont="1" applyAlignment="1">
      <alignment horizontal="left" vertical="top"/>
    </xf>
    <xf numFmtId="0" fontId="34" fillId="0" borderId="0" xfId="92" applyAlignment="1">
      <alignment horizontal="left" indent="1"/>
    </xf>
    <xf numFmtId="0" fontId="0" fillId="42" borderId="63" xfId="0" applyFill="1" applyBorder="1" applyAlignment="1">
      <alignment horizontal="left" vertical="top" wrapText="1"/>
    </xf>
    <xf numFmtId="0" fontId="0" fillId="42" borderId="66" xfId="0" applyFill="1" applyBorder="1" applyAlignment="1">
      <alignment horizontal="left" vertical="top" wrapText="1"/>
    </xf>
    <xf numFmtId="0" fontId="0" fillId="116" borderId="0" xfId="0" applyFill="1" applyAlignment="1">
      <alignment horizontal="center" vertical="center"/>
    </xf>
    <xf numFmtId="0" fontId="0" fillId="116" borderId="0" xfId="0" applyFill="1" applyAlignment="1">
      <alignment horizontal="center" vertical="top"/>
    </xf>
    <xf numFmtId="0" fontId="29" fillId="0" borderId="0" xfId="0" applyFont="1"/>
    <xf numFmtId="0" fontId="26" fillId="0" borderId="0" xfId="0" applyFont="1" applyAlignment="1">
      <alignment horizontal="center"/>
    </xf>
    <xf numFmtId="0" fontId="0" fillId="0" borderId="71" xfId="0" applyBorder="1" applyAlignment="1">
      <alignment horizontal="left" vertical="center" indent="1"/>
    </xf>
    <xf numFmtId="0" fontId="0" fillId="42" borderId="62" xfId="0" applyFill="1" applyBorder="1" applyAlignment="1">
      <alignment horizontal="left" vertical="center" wrapText="1" indent="1"/>
    </xf>
    <xf numFmtId="0" fontId="34" fillId="42" borderId="62" xfId="92" applyFill="1" applyBorder="1" applyAlignment="1">
      <alignment horizontal="left" vertical="center" wrapText="1" indent="1"/>
    </xf>
    <xf numFmtId="0" fontId="34" fillId="42" borderId="65" xfId="92" applyFill="1" applyBorder="1" applyAlignment="1">
      <alignment horizontal="left" vertical="center" wrapText="1" indent="1"/>
    </xf>
    <xf numFmtId="0" fontId="249" fillId="42" borderId="0" xfId="88" applyFont="1" applyFill="1" applyAlignment="1">
      <alignment horizontal="left" indent="1"/>
    </xf>
    <xf numFmtId="0" fontId="0" fillId="0" borderId="63" xfId="0" applyBorder="1" applyAlignment="1">
      <alignment horizontal="center"/>
    </xf>
    <xf numFmtId="0" fontId="0" fillId="0" borderId="64" xfId="0" applyBorder="1" applyAlignment="1">
      <alignment horizontal="center"/>
    </xf>
    <xf numFmtId="0" fontId="250" fillId="42" borderId="0" xfId="79" applyFont="1" applyFill="1" applyAlignment="1">
      <alignment horizontal="left"/>
    </xf>
    <xf numFmtId="0" fontId="250" fillId="42" borderId="0" xfId="79" applyFont="1" applyFill="1" applyAlignment="1" applyProtection="1">
      <alignment horizontal="left"/>
      <protection locked="0"/>
    </xf>
    <xf numFmtId="0" fontId="251" fillId="42" borderId="0" xfId="78" applyFont="1" applyFill="1" applyProtection="1">
      <protection locked="0"/>
    </xf>
    <xf numFmtId="0" fontId="252" fillId="42" borderId="0" xfId="78" applyFont="1" applyFill="1" applyProtection="1">
      <protection locked="0"/>
    </xf>
    <xf numFmtId="0" fontId="250" fillId="42" borderId="0" xfId="78" applyFont="1" applyFill="1" applyAlignment="1" applyProtection="1">
      <alignment horizontal="left"/>
      <protection locked="0"/>
    </xf>
    <xf numFmtId="0" fontId="251" fillId="0" borderId="0" xfId="78" applyFont="1" applyProtection="1">
      <protection locked="0"/>
    </xf>
    <xf numFmtId="168" fontId="37" fillId="0" borderId="0" xfId="0" applyNumberFormat="1" applyFont="1" applyAlignment="1">
      <alignment vertical="center"/>
    </xf>
    <xf numFmtId="168" fontId="37" fillId="48" borderId="0" xfId="94">
      <alignment vertical="center"/>
    </xf>
    <xf numFmtId="168" fontId="37" fillId="42" borderId="0" xfId="94" applyFill="1">
      <alignment vertical="center"/>
    </xf>
    <xf numFmtId="168" fontId="37" fillId="42" borderId="0" xfId="0" applyNumberFormat="1" applyFont="1" applyFill="1" applyAlignment="1">
      <alignment vertical="center"/>
    </xf>
    <xf numFmtId="0" fontId="254" fillId="0" borderId="0" xfId="85" applyFont="1"/>
    <xf numFmtId="0" fontId="11" fillId="0" borderId="0" xfId="85" applyFont="1"/>
    <xf numFmtId="0" fontId="10" fillId="0" borderId="0" xfId="85" applyFont="1"/>
    <xf numFmtId="0" fontId="10" fillId="0" borderId="0" xfId="48234" applyFont="1" applyAlignment="1">
      <alignment horizontal="center" vertical="center"/>
    </xf>
    <xf numFmtId="0" fontId="11" fillId="0" borderId="0" xfId="85" applyFont="1" applyAlignment="1">
      <alignment horizontal="center"/>
    </xf>
    <xf numFmtId="0" fontId="255" fillId="0" borderId="0" xfId="85" applyFont="1"/>
    <xf numFmtId="0" fontId="256" fillId="0" borderId="0" xfId="85" applyFont="1" applyProtection="1">
      <protection locked="0"/>
    </xf>
    <xf numFmtId="0" fontId="257" fillId="0" borderId="0" xfId="84" applyFont="1" applyAlignment="1">
      <alignment horizontal="center"/>
    </xf>
    <xf numFmtId="0" fontId="10" fillId="0" borderId="0" xfId="48237"/>
    <xf numFmtId="0" fontId="259" fillId="0" borderId="0" xfId="48237" applyFont="1"/>
    <xf numFmtId="171" fontId="10" fillId="0" borderId="0" xfId="48237" applyNumberFormat="1"/>
    <xf numFmtId="0" fontId="11" fillId="0" borderId="0" xfId="85" applyFont="1" applyAlignment="1">
      <alignment vertical="center"/>
    </xf>
    <xf numFmtId="0" fontId="10" fillId="0" borderId="0" xfId="85" applyFont="1" applyAlignment="1">
      <alignment horizontal="left"/>
    </xf>
    <xf numFmtId="0" fontId="7" fillId="0" borderId="0" xfId="0" applyFont="1"/>
    <xf numFmtId="168" fontId="38" fillId="49" borderId="0" xfId="96" applyAlignment="1">
      <alignment vertical="center"/>
    </xf>
    <xf numFmtId="168" fontId="38" fillId="42" borderId="0" xfId="96" applyFill="1" applyAlignment="1">
      <alignment vertical="center"/>
    </xf>
    <xf numFmtId="168" fontId="36" fillId="42" borderId="0" xfId="0" applyNumberFormat="1" applyFont="1" applyFill="1" applyAlignment="1">
      <alignment vertical="center"/>
    </xf>
    <xf numFmtId="0" fontId="10" fillId="0" borderId="0" xfId="85" applyFont="1" applyAlignment="1">
      <alignment horizontal="center"/>
    </xf>
    <xf numFmtId="168" fontId="10" fillId="3" borderId="0" xfId="0" applyNumberFormat="1" applyFont="1" applyFill="1" applyAlignment="1">
      <alignment vertical="center" wrapText="1"/>
    </xf>
    <xf numFmtId="168" fontId="10" fillId="0" borderId="0" xfId="0" applyNumberFormat="1" applyFont="1" applyAlignment="1">
      <alignment horizontal="left" vertical="center" wrapText="1"/>
    </xf>
    <xf numFmtId="0" fontId="10" fillId="0" borderId="0" xfId="85" applyFont="1" applyAlignment="1">
      <alignment horizontal="left" indent="1"/>
    </xf>
    <xf numFmtId="0" fontId="262" fillId="0" borderId="0" xfId="85" applyFont="1"/>
    <xf numFmtId="0" fontId="10" fillId="0" borderId="0" xfId="85" applyFont="1" applyAlignment="1" applyProtection="1">
      <alignment horizontal="center"/>
      <protection locked="0"/>
    </xf>
    <xf numFmtId="0" fontId="11" fillId="0" borderId="0" xfId="85" applyFont="1" applyAlignment="1">
      <alignment horizontal="right"/>
    </xf>
    <xf numFmtId="0" fontId="259" fillId="0" borderId="0" xfId="85" applyFont="1"/>
    <xf numFmtId="14" fontId="10" fillId="42" borderId="0" xfId="2" applyNumberFormat="1" applyFont="1" applyFill="1" applyBorder="1" applyAlignment="1">
      <alignment horizontal="center" vertical="center"/>
    </xf>
    <xf numFmtId="0" fontId="0" fillId="0" borderId="21" xfId="0" applyBorder="1"/>
    <xf numFmtId="0" fontId="0" fillId="0" borderId="78" xfId="0" applyBorder="1"/>
    <xf numFmtId="0" fontId="248" fillId="116" borderId="0" xfId="0" applyFont="1" applyFill="1" applyAlignment="1">
      <alignment horizontal="left" vertical="top"/>
    </xf>
    <xf numFmtId="0" fontId="248" fillId="116" borderId="0" xfId="0" applyFont="1" applyFill="1" applyAlignment="1">
      <alignment horizontal="left" vertical="top" indent="1"/>
    </xf>
    <xf numFmtId="168" fontId="10" fillId="0" borderId="0" xfId="0" applyNumberFormat="1" applyFont="1" applyAlignment="1">
      <alignment horizontal="left" vertical="center" indent="1"/>
    </xf>
    <xf numFmtId="0" fontId="10" fillId="0" borderId="0" xfId="85" applyFont="1" applyAlignment="1">
      <alignment horizontal="left" vertical="center" wrapText="1" indent="1"/>
    </xf>
    <xf numFmtId="0" fontId="248" fillId="0" borderId="0" xfId="0" applyFont="1" applyAlignment="1">
      <alignment horizontal="left" vertical="top"/>
    </xf>
    <xf numFmtId="0" fontId="10" fillId="0" borderId="92" xfId="85" applyFont="1" applyBorder="1"/>
    <xf numFmtId="0" fontId="10" fillId="0" borderId="93" xfId="85" applyFont="1" applyBorder="1"/>
    <xf numFmtId="0" fontId="10" fillId="0" borderId="94" xfId="85" applyFont="1" applyBorder="1" applyAlignment="1">
      <alignment horizontal="center"/>
    </xf>
    <xf numFmtId="0" fontId="10" fillId="0" borderId="93" xfId="48237" applyBorder="1" applyAlignment="1">
      <alignment horizontal="left"/>
    </xf>
    <xf numFmtId="0" fontId="10" fillId="0" borderId="93" xfId="48237" applyBorder="1"/>
    <xf numFmtId="0" fontId="11" fillId="0" borderId="93" xfId="48237" applyFont="1" applyBorder="1" applyAlignment="1">
      <alignment horizontal="left"/>
    </xf>
    <xf numFmtId="0" fontId="10" fillId="0" borderId="93" xfId="84" applyFont="1" applyBorder="1" applyAlignment="1">
      <alignment wrapText="1"/>
    </xf>
    <xf numFmtId="0" fontId="10" fillId="0" borderId="93" xfId="84" applyFont="1" applyBorder="1" applyAlignment="1">
      <alignment horizontal="left" wrapText="1"/>
    </xf>
    <xf numFmtId="0" fontId="10" fillId="0" borderId="93" xfId="85" applyFont="1" applyBorder="1" applyAlignment="1">
      <alignment horizontal="left" vertical="center"/>
    </xf>
    <xf numFmtId="0" fontId="10" fillId="0" borderId="93" xfId="85" applyFont="1" applyBorder="1" applyAlignment="1">
      <alignment horizontal="left" vertical="center" wrapText="1"/>
    </xf>
    <xf numFmtId="167" fontId="10" fillId="3" borderId="93" xfId="85" applyNumberFormat="1" applyFont="1" applyFill="1" applyBorder="1" applyProtection="1">
      <protection locked="0"/>
    </xf>
    <xf numFmtId="0" fontId="11" fillId="0" borderId="93" xfId="85" applyFont="1" applyBorder="1" applyAlignment="1">
      <alignment horizontal="left" vertical="center" wrapText="1"/>
    </xf>
    <xf numFmtId="0" fontId="10" fillId="0" borderId="95" xfId="48237" applyBorder="1" applyAlignment="1">
      <alignment horizontal="center"/>
    </xf>
    <xf numFmtId="0" fontId="10" fillId="0" borderId="95" xfId="85" applyFont="1" applyBorder="1"/>
    <xf numFmtId="0" fontId="10" fillId="0" borderId="95" xfId="48237" applyBorder="1"/>
    <xf numFmtId="0" fontId="11" fillId="0" borderId="96" xfId="48237" applyFont="1" applyBorder="1" applyAlignment="1">
      <alignment horizontal="left"/>
    </xf>
    <xf numFmtId="0" fontId="10" fillId="0" borderId="96" xfId="85" applyFont="1" applyBorder="1"/>
    <xf numFmtId="0" fontId="10" fillId="0" borderId="96" xfId="48237" applyBorder="1"/>
    <xf numFmtId="0" fontId="11" fillId="0" borderId="96" xfId="85" applyFont="1" applyBorder="1"/>
    <xf numFmtId="0" fontId="11" fillId="0" borderId="96" xfId="85" applyFont="1" applyBorder="1" applyAlignment="1">
      <alignment vertical="center"/>
    </xf>
    <xf numFmtId="0" fontId="7" fillId="0" borderId="96" xfId="0" applyFont="1" applyBorder="1"/>
    <xf numFmtId="0" fontId="260" fillId="0" borderId="95" xfId="48238" applyFont="1" applyBorder="1"/>
    <xf numFmtId="0" fontId="7" fillId="0" borderId="95" xfId="0" applyFont="1" applyBorder="1"/>
    <xf numFmtId="0" fontId="10" fillId="0" borderId="95" xfId="48237" applyBorder="1" applyAlignment="1">
      <alignment horizontal="left"/>
    </xf>
    <xf numFmtId="0" fontId="10" fillId="0" borderId="95" xfId="85" applyFont="1" applyBorder="1" applyAlignment="1">
      <alignment horizontal="left" vertical="center"/>
    </xf>
    <xf numFmtId="0" fontId="10" fillId="53" borderId="0" xfId="85" applyFont="1" applyFill="1"/>
    <xf numFmtId="0" fontId="263" fillId="53" borderId="0" xfId="85" applyFont="1" applyFill="1" applyAlignment="1">
      <alignment horizontal="center"/>
    </xf>
    <xf numFmtId="0" fontId="263" fillId="53" borderId="0" xfId="85" applyFont="1" applyFill="1"/>
    <xf numFmtId="0" fontId="264" fillId="53" borderId="0" xfId="85" applyFont="1" applyFill="1"/>
    <xf numFmtId="0" fontId="258" fillId="53" borderId="0" xfId="48237" applyFont="1" applyFill="1" applyAlignment="1">
      <alignment horizontal="left"/>
    </xf>
    <xf numFmtId="0" fontId="10" fillId="53" borderId="0" xfId="48237" applyFill="1"/>
    <xf numFmtId="0" fontId="263" fillId="0" borderId="0" xfId="85" applyFont="1" applyAlignment="1">
      <alignment horizontal="center"/>
    </xf>
    <xf numFmtId="0" fontId="263" fillId="0" borderId="0" xfId="85" applyFont="1"/>
    <xf numFmtId="0" fontId="264" fillId="0" borderId="0" xfId="85" applyFont="1"/>
    <xf numFmtId="0" fontId="255" fillId="117" borderId="0" xfId="85" applyFont="1" applyFill="1"/>
    <xf numFmtId="0" fontId="10" fillId="117" borderId="0" xfId="85" applyFont="1" applyFill="1"/>
    <xf numFmtId="0" fontId="255" fillId="118" borderId="0" xfId="85" applyFont="1" applyFill="1"/>
    <xf numFmtId="0" fontId="10" fillId="118" borderId="0" xfId="85" applyFont="1" applyFill="1"/>
    <xf numFmtId="0" fontId="11" fillId="118" borderId="0" xfId="85" applyFont="1" applyFill="1"/>
    <xf numFmtId="175" fontId="10" fillId="0" borderId="0" xfId="85" applyNumberFormat="1" applyFont="1" applyAlignment="1">
      <alignment horizontal="left"/>
    </xf>
    <xf numFmtId="167" fontId="7" fillId="0" borderId="0" xfId="48236" applyFill="1" applyBorder="1">
      <alignment vertical="center"/>
    </xf>
    <xf numFmtId="0" fontId="258" fillId="0" borderId="0" xfId="48237" applyFont="1" applyAlignment="1">
      <alignment horizontal="left"/>
    </xf>
    <xf numFmtId="0" fontId="10" fillId="0" borderId="0" xfId="80" applyFont="1" applyAlignment="1">
      <alignment horizontal="right" indent="1"/>
    </xf>
    <xf numFmtId="169" fontId="10" fillId="0" borderId="0" xfId="85" applyNumberFormat="1" applyFont="1"/>
    <xf numFmtId="169" fontId="10" fillId="0" borderId="0" xfId="48237" applyNumberFormat="1"/>
    <xf numFmtId="168" fontId="37" fillId="0" borderId="0" xfId="94" applyFill="1">
      <alignment vertical="center"/>
    </xf>
    <xf numFmtId="0" fontId="264" fillId="53" borderId="98" xfId="85" applyFont="1" applyFill="1" applyBorder="1"/>
    <xf numFmtId="0" fontId="264" fillId="0" borderId="98" xfId="85" applyFont="1" applyBorder="1"/>
    <xf numFmtId="0" fontId="10" fillId="117" borderId="98" xfId="85" applyFont="1" applyFill="1" applyBorder="1"/>
    <xf numFmtId="0" fontId="10" fillId="0" borderId="98" xfId="85" applyFont="1" applyBorder="1"/>
    <xf numFmtId="0" fontId="10" fillId="118" borderId="98" xfId="85" applyFont="1" applyFill="1" applyBorder="1"/>
    <xf numFmtId="0" fontId="256" fillId="0" borderId="98" xfId="85" applyFont="1" applyBorder="1" applyProtection="1">
      <protection locked="0"/>
    </xf>
    <xf numFmtId="0" fontId="11" fillId="0" borderId="98" xfId="85" applyFont="1" applyBorder="1"/>
    <xf numFmtId="0" fontId="263" fillId="53" borderId="98" xfId="85" applyFont="1" applyFill="1" applyBorder="1"/>
    <xf numFmtId="0" fontId="263" fillId="0" borderId="98" xfId="85" applyFont="1" applyBorder="1"/>
    <xf numFmtId="0" fontId="11" fillId="118" borderId="98" xfId="85" applyFont="1" applyFill="1" applyBorder="1"/>
    <xf numFmtId="167" fontId="7" fillId="0" borderId="98" xfId="48236" applyFill="1" applyBorder="1">
      <alignment vertical="center"/>
    </xf>
    <xf numFmtId="0" fontId="257" fillId="0" borderId="98" xfId="84" applyFont="1" applyBorder="1" applyAlignment="1">
      <alignment horizontal="center"/>
    </xf>
    <xf numFmtId="0" fontId="10" fillId="53" borderId="98" xfId="85" applyFont="1" applyFill="1" applyBorder="1"/>
    <xf numFmtId="171" fontId="10" fillId="0" borderId="98" xfId="48237" applyNumberFormat="1" applyBorder="1"/>
    <xf numFmtId="169" fontId="10" fillId="0" borderId="98" xfId="85" applyNumberFormat="1" applyFont="1" applyBorder="1"/>
    <xf numFmtId="169" fontId="10" fillId="0" borderId="98" xfId="48237" applyNumberFormat="1" applyBorder="1"/>
    <xf numFmtId="0" fontId="256" fillId="0" borderId="0" xfId="85" applyFont="1" applyAlignment="1" applyProtection="1">
      <alignment horizontal="center"/>
      <protection locked="0"/>
    </xf>
    <xf numFmtId="0" fontId="10" fillId="118" borderId="0" xfId="85" applyFont="1" applyFill="1" applyAlignment="1">
      <alignment horizontal="center"/>
    </xf>
    <xf numFmtId="0" fontId="10" fillId="117" borderId="0" xfId="85" applyFont="1" applyFill="1" applyAlignment="1">
      <alignment horizontal="center"/>
    </xf>
    <xf numFmtId="0" fontId="11" fillId="118" borderId="0" xfId="85" applyFont="1" applyFill="1" applyAlignment="1">
      <alignment horizontal="center"/>
    </xf>
    <xf numFmtId="0" fontId="264" fillId="53" borderId="0" xfId="85" applyFont="1" applyFill="1" applyAlignment="1">
      <alignment horizontal="center"/>
    </xf>
    <xf numFmtId="0" fontId="264" fillId="0" borderId="0" xfId="85" applyFont="1" applyAlignment="1">
      <alignment horizontal="center"/>
    </xf>
    <xf numFmtId="0" fontId="250" fillId="42" borderId="0" xfId="79" applyFont="1" applyFill="1" applyAlignment="1" applyProtection="1">
      <alignment horizontal="left" indent="1"/>
      <protection locked="0"/>
    </xf>
    <xf numFmtId="168" fontId="37" fillId="48" borderId="0" xfId="94" applyAlignment="1">
      <alignment horizontal="left" vertical="center" indent="1"/>
    </xf>
    <xf numFmtId="0" fontId="254" fillId="0" borderId="0" xfId="85" applyFont="1" applyAlignment="1">
      <alignment horizontal="left" indent="1"/>
    </xf>
    <xf numFmtId="0" fontId="11" fillId="0" borderId="0" xfId="85" applyFont="1" applyAlignment="1">
      <alignment horizontal="left" indent="1"/>
    </xf>
    <xf numFmtId="168" fontId="38" fillId="49" borderId="0" xfId="96" applyAlignment="1">
      <alignment horizontal="left" vertical="center" indent="1"/>
    </xf>
    <xf numFmtId="348" fontId="10" fillId="0" borderId="72" xfId="84" applyNumberFormat="1" applyFont="1" applyBorder="1" applyAlignment="1">
      <alignment horizontal="center"/>
    </xf>
    <xf numFmtId="0" fontId="8" fillId="0" borderId="0" xfId="0" applyFont="1" applyAlignment="1">
      <alignment horizontal="left" vertical="top" indent="1"/>
    </xf>
    <xf numFmtId="0" fontId="248" fillId="0" borderId="0" xfId="0" applyFont="1" applyAlignment="1">
      <alignment horizontal="left" vertical="top" indent="1"/>
    </xf>
    <xf numFmtId="10" fontId="0" fillId="0" borderId="64" xfId="0" applyNumberFormat="1" applyBorder="1"/>
    <xf numFmtId="3" fontId="11" fillId="0" borderId="0" xfId="89" applyNumberFormat="1" applyFont="1" applyAlignment="1">
      <alignment horizontal="left" indent="1"/>
    </xf>
    <xf numFmtId="0" fontId="0" fillId="53" borderId="0" xfId="0" applyFill="1" applyAlignment="1">
      <alignment horizontal="left" indent="1"/>
    </xf>
    <xf numFmtId="0" fontId="248" fillId="53" borderId="0" xfId="0" applyFont="1" applyFill="1" applyAlignment="1">
      <alignment horizontal="center"/>
    </xf>
    <xf numFmtId="0" fontId="0" fillId="53" borderId="0" xfId="0" applyFill="1" applyAlignment="1">
      <alignment horizontal="left"/>
    </xf>
    <xf numFmtId="0" fontId="0" fillId="53" borderId="0" xfId="0" applyFill="1" applyAlignment="1">
      <alignment horizontal="center"/>
    </xf>
    <xf numFmtId="0" fontId="0" fillId="0" borderId="0" xfId="0" applyAlignment="1">
      <alignment horizontal="left"/>
    </xf>
    <xf numFmtId="0" fontId="10" fillId="0" borderId="98" xfId="85" applyFont="1" applyBorder="1" applyAlignment="1">
      <alignment horizontal="center"/>
    </xf>
    <xf numFmtId="168" fontId="37" fillId="0" borderId="0" xfId="94" applyFill="1" applyAlignment="1">
      <alignment horizontal="left" vertical="center" indent="1"/>
    </xf>
    <xf numFmtId="0" fontId="248" fillId="116" borderId="0" xfId="0" applyFont="1" applyFill="1"/>
    <xf numFmtId="0" fontId="248" fillId="116" borderId="0" xfId="0" applyFont="1" applyFill="1" applyAlignment="1">
      <alignment horizontal="left" indent="1"/>
    </xf>
    <xf numFmtId="0" fontId="248" fillId="116" borderId="0" xfId="0" applyFont="1" applyFill="1" applyAlignment="1">
      <alignment wrapText="1"/>
    </xf>
    <xf numFmtId="0" fontId="11" fillId="0" borderId="0" xfId="77" applyNumberFormat="1" applyFont="1" applyFill="1" applyBorder="1" applyAlignment="1" applyProtection="1">
      <alignment horizontal="left" indent="1"/>
    </xf>
    <xf numFmtId="0" fontId="10" fillId="0" borderId="0" xfId="77" applyNumberFormat="1" applyFont="1" applyFill="1" applyBorder="1" applyAlignment="1" applyProtection="1">
      <alignment horizontal="center"/>
    </xf>
    <xf numFmtId="168" fontId="11" fillId="0" borderId="0" xfId="0" applyNumberFormat="1" applyFont="1" applyAlignment="1">
      <alignment horizontal="left" vertical="center"/>
    </xf>
    <xf numFmtId="0" fontId="10" fillId="3" borderId="93" xfId="48237" applyFill="1" applyBorder="1" applyAlignment="1">
      <alignment horizontal="left"/>
    </xf>
    <xf numFmtId="0" fontId="10" fillId="3" borderId="93" xfId="85" applyFont="1" applyFill="1" applyBorder="1"/>
    <xf numFmtId="0" fontId="10" fillId="3" borderId="93" xfId="84" applyFont="1" applyFill="1" applyBorder="1" applyAlignment="1">
      <alignment wrapText="1"/>
    </xf>
    <xf numFmtId="0" fontId="11" fillId="0" borderId="93" xfId="85" applyFont="1" applyBorder="1" applyAlignment="1">
      <alignment horizontal="left" vertical="center"/>
    </xf>
    <xf numFmtId="0" fontId="11" fillId="53" borderId="0" xfId="77" applyNumberFormat="1" applyFont="1" applyFill="1" applyBorder="1" applyAlignment="1" applyProtection="1">
      <alignment horizontal="left" indent="1"/>
    </xf>
    <xf numFmtId="0" fontId="10" fillId="53" borderId="0" xfId="77" applyNumberFormat="1" applyFont="1" applyFill="1" applyBorder="1" applyAlignment="1" applyProtection="1">
      <alignment horizontal="center"/>
    </xf>
    <xf numFmtId="0" fontId="11" fillId="116" borderId="0" xfId="77" applyNumberFormat="1" applyFont="1" applyFill="1" applyBorder="1" applyAlignment="1" applyProtection="1">
      <alignment horizontal="left" indent="1"/>
    </xf>
    <xf numFmtId="0" fontId="10" fillId="116" borderId="0" xfId="77" applyNumberFormat="1" applyFont="1" applyFill="1" applyBorder="1" applyAlignment="1" applyProtection="1">
      <alignment horizontal="left" indent="1"/>
    </xf>
    <xf numFmtId="0" fontId="8" fillId="53" borderId="0" xfId="0"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25" fillId="0" borderId="0" xfId="75" applyFont="1" applyAlignment="1">
      <alignment horizontal="left" indent="1"/>
    </xf>
    <xf numFmtId="0" fontId="25" fillId="0" borderId="0" xfId="75" applyFont="1" applyAlignment="1">
      <alignment horizontal="left" vertical="center" indent="1"/>
    </xf>
    <xf numFmtId="0" fontId="10" fillId="42" borderId="0" xfId="7" applyFont="1" applyFill="1" applyAlignment="1">
      <alignment horizontal="left" indent="1"/>
    </xf>
    <xf numFmtId="173" fontId="0" fillId="119" borderId="63" xfId="0" applyNumberFormat="1" applyFill="1" applyBorder="1" applyAlignment="1">
      <alignment horizontal="right" indent="1"/>
    </xf>
    <xf numFmtId="0" fontId="8" fillId="0" borderId="0" xfId="0" applyFont="1" applyAlignment="1" applyProtection="1">
      <alignment horizontal="left" indent="1"/>
      <protection locked="0"/>
    </xf>
    <xf numFmtId="0" fontId="8" fillId="53" borderId="0" xfId="0" applyFont="1" applyFill="1" applyAlignment="1">
      <alignment horizontal="left" vertical="top" indent="1"/>
    </xf>
    <xf numFmtId="0" fontId="0" fillId="0" borderId="0" xfId="0" applyAlignment="1" applyProtection="1">
      <alignment horizontal="left" indent="1"/>
      <protection locked="0"/>
    </xf>
    <xf numFmtId="0" fontId="8" fillId="0" borderId="0" xfId="0" applyFont="1" applyAlignment="1">
      <alignment horizontal="left" indent="1"/>
    </xf>
    <xf numFmtId="0" fontId="11" fillId="53" borderId="0" xfId="85" applyFont="1" applyFill="1" applyAlignment="1">
      <alignment horizontal="left" vertical="center" wrapText="1"/>
    </xf>
    <xf numFmtId="0" fontId="10" fillId="53" borderId="0" xfId="85" applyFont="1" applyFill="1" applyAlignment="1">
      <alignment horizontal="left" vertical="center" wrapText="1"/>
    </xf>
    <xf numFmtId="0" fontId="0" fillId="0" borderId="0" xfId="0" applyAlignment="1">
      <alignment horizontal="left" vertical="center" wrapText="1" indent="1"/>
    </xf>
    <xf numFmtId="0" fontId="248" fillId="0" borderId="0" xfId="0" applyFont="1" applyAlignment="1">
      <alignment horizontal="left" indent="1"/>
    </xf>
    <xf numFmtId="0" fontId="248" fillId="0" borderId="0" xfId="0" applyFont="1" applyAlignment="1">
      <alignment wrapText="1"/>
    </xf>
    <xf numFmtId="0" fontId="248" fillId="0" borderId="0" xfId="0" applyFont="1"/>
    <xf numFmtId="3" fontId="0" fillId="0" borderId="0" xfId="0" applyNumberFormat="1"/>
    <xf numFmtId="0" fontId="10" fillId="0" borderId="0" xfId="85" applyFont="1" applyAlignment="1">
      <alignment horizontal="center" vertical="center"/>
    </xf>
    <xf numFmtId="0" fontId="10" fillId="0" borderId="98" xfId="85" applyFont="1" applyBorder="1" applyAlignment="1">
      <alignment horizontal="center" vertical="center"/>
    </xf>
    <xf numFmtId="0" fontId="10" fillId="0" borderId="0" xfId="85" applyFont="1" applyAlignment="1">
      <alignment horizontal="center" vertical="top"/>
    </xf>
    <xf numFmtId="0" fontId="10" fillId="0" borderId="0" xfId="84" applyFont="1">
      <alignment vertical="top"/>
    </xf>
    <xf numFmtId="0" fontId="10" fillId="0" borderId="59" xfId="85" applyFont="1" applyBorder="1" applyAlignment="1">
      <alignment horizontal="center" vertical="top"/>
    </xf>
    <xf numFmtId="0" fontId="10" fillId="0" borderId="60" xfId="85" applyFont="1" applyBorder="1" applyAlignment="1">
      <alignment horizontal="center" vertical="top"/>
    </xf>
    <xf numFmtId="0" fontId="10" fillId="0" borderId="85" xfId="85" applyFont="1" applyBorder="1" applyAlignment="1">
      <alignment horizontal="center" vertical="top"/>
    </xf>
    <xf numFmtId="0" fontId="10" fillId="0" borderId="99" xfId="85" applyFont="1" applyBorder="1" applyAlignment="1">
      <alignment horizontal="center" vertical="top"/>
    </xf>
    <xf numFmtId="0" fontId="10" fillId="0" borderId="0" xfId="85" applyFont="1" applyAlignment="1">
      <alignment vertical="top"/>
    </xf>
    <xf numFmtId="0" fontId="0" fillId="52" borderId="72" xfId="0" applyFill="1" applyBorder="1" applyAlignment="1">
      <alignment horizontal="left" vertical="center" wrapText="1" indent="1"/>
    </xf>
    <xf numFmtId="0" fontId="8" fillId="53" borderId="0" xfId="0" applyFont="1" applyFill="1" applyAlignment="1">
      <alignment horizontal="left"/>
    </xf>
    <xf numFmtId="0" fontId="0" fillId="53" borderId="0" xfId="0" applyFill="1" applyAlignment="1">
      <alignment horizontal="center" vertical="center" wrapText="1"/>
    </xf>
    <xf numFmtId="0" fontId="8" fillId="0" borderId="0" xfId="0" applyFont="1" applyAlignment="1">
      <alignment horizontal="left"/>
    </xf>
    <xf numFmtId="172" fontId="10" fillId="0" borderId="0" xfId="2" applyNumberFormat="1" applyFont="1" applyFill="1" applyBorder="1" applyAlignment="1">
      <alignment horizontal="right" vertical="center"/>
    </xf>
    <xf numFmtId="0" fontId="8" fillId="53" borderId="0" xfId="0" applyFont="1" applyFill="1"/>
    <xf numFmtId="0" fontId="8" fillId="53" borderId="0" xfId="0" applyFont="1" applyFill="1" applyAlignment="1">
      <alignment horizontal="left" indent="1"/>
    </xf>
    <xf numFmtId="0" fontId="10" fillId="42" borderId="0" xfId="85" applyFont="1" applyFill="1"/>
    <xf numFmtId="15" fontId="244" fillId="46" borderId="100" xfId="48240" applyNumberFormat="1" applyFont="1" applyFill="1" applyBorder="1" applyAlignment="1">
      <alignment horizontal="center" vertical="top" wrapText="1"/>
    </xf>
    <xf numFmtId="0" fontId="244" fillId="46" borderId="100" xfId="48240" applyFont="1" applyFill="1" applyBorder="1" applyAlignment="1">
      <alignment vertical="top" wrapText="1"/>
    </xf>
    <xf numFmtId="0" fontId="244" fillId="46" borderId="100" xfId="48240" applyFont="1" applyFill="1" applyBorder="1" applyAlignment="1">
      <alignment horizontal="center" vertical="top" wrapText="1"/>
    </xf>
    <xf numFmtId="0" fontId="30" fillId="42" borderId="0" xfId="90" applyFont="1" applyFill="1" applyAlignment="1">
      <alignment horizontal="left"/>
    </xf>
    <xf numFmtId="0" fontId="10" fillId="0" borderId="100" xfId="85" applyFont="1" applyBorder="1"/>
    <xf numFmtId="0" fontId="10" fillId="54" borderId="0" xfId="85" applyFont="1" applyFill="1"/>
    <xf numFmtId="0" fontId="0" fillId="42" borderId="63" xfId="0" applyFill="1" applyBorder="1" applyAlignment="1">
      <alignment horizontal="left" vertical="top" wrapText="1" indent="1"/>
    </xf>
    <xf numFmtId="0" fontId="0" fillId="42" borderId="66" xfId="0" applyFill="1" applyBorder="1" applyAlignment="1">
      <alignment horizontal="left" vertical="top" wrapText="1" indent="1"/>
    </xf>
    <xf numFmtId="0" fontId="0" fillId="0" borderId="76" xfId="0" applyBorder="1" applyAlignment="1">
      <alignment horizontal="left" vertical="top" wrapText="1" indent="1"/>
    </xf>
    <xf numFmtId="0" fontId="10" fillId="0" borderId="0" xfId="7" applyFont="1" applyAlignment="1">
      <alignment horizontal="left" vertical="center" wrapText="1" indent="1"/>
    </xf>
    <xf numFmtId="0" fontId="0" fillId="0" borderId="76" xfId="0" applyBorder="1" applyAlignment="1">
      <alignment vertical="center" wrapText="1"/>
    </xf>
    <xf numFmtId="168" fontId="11" fillId="0" borderId="0" xfId="0" applyNumberFormat="1" applyFont="1" applyAlignment="1">
      <alignment horizontal="left" vertical="center" indent="1"/>
    </xf>
    <xf numFmtId="167" fontId="10" fillId="3" borderId="0" xfId="85" applyNumberFormat="1" applyFont="1" applyFill="1" applyProtection="1">
      <protection locked="0"/>
    </xf>
    <xf numFmtId="0" fontId="8" fillId="42" borderId="0" xfId="0" applyFont="1" applyFill="1" applyAlignment="1">
      <alignment horizontal="left" indent="1"/>
    </xf>
    <xf numFmtId="167" fontId="10" fillId="42" borderId="0" xfId="85" applyNumberFormat="1" applyFont="1" applyFill="1" applyProtection="1">
      <protection locked="0"/>
    </xf>
    <xf numFmtId="172" fontId="7" fillId="42" borderId="0" xfId="48236" applyNumberFormat="1" applyFill="1" applyBorder="1">
      <alignment vertical="center"/>
    </xf>
    <xf numFmtId="0" fontId="10" fillId="3" borderId="0" xfId="85" applyFont="1" applyFill="1" applyAlignment="1">
      <alignment horizontal="left" vertical="center"/>
    </xf>
    <xf numFmtId="168" fontId="10" fillId="42" borderId="0" xfId="0" applyNumberFormat="1" applyFont="1" applyFill="1" applyAlignment="1">
      <alignment horizontal="left" vertical="center" indent="1"/>
    </xf>
    <xf numFmtId="0" fontId="0" fillId="42" borderId="0" xfId="0" applyFill="1" applyAlignment="1" applyProtection="1">
      <alignment horizontal="center" vertical="center"/>
      <protection locked="0"/>
    </xf>
    <xf numFmtId="0" fontId="0" fillId="42" borderId="63" xfId="0" quotePrefix="1" applyFill="1" applyBorder="1" applyAlignment="1">
      <alignment horizontal="left" vertical="top" wrapText="1"/>
    </xf>
    <xf numFmtId="0" fontId="0" fillId="42" borderId="63" xfId="0" quotePrefix="1" applyFill="1" applyBorder="1" applyAlignment="1">
      <alignment horizontal="left" vertical="top" wrapText="1" indent="1"/>
    </xf>
    <xf numFmtId="0" fontId="0" fillId="42" borderId="70" xfId="0" applyFill="1" applyBorder="1" applyAlignment="1">
      <alignment horizontal="left" vertical="top" wrapText="1" indent="1"/>
    </xf>
    <xf numFmtId="0" fontId="0" fillId="42" borderId="70" xfId="0" applyFill="1" applyBorder="1" applyAlignment="1">
      <alignment horizontal="left" vertical="top" wrapText="1"/>
    </xf>
    <xf numFmtId="0" fontId="10" fillId="42" borderId="0" xfId="0" applyFont="1" applyFill="1" applyAlignment="1">
      <alignment horizontal="left" vertical="center" indent="1"/>
    </xf>
    <xf numFmtId="172" fontId="10" fillId="42" borderId="0" xfId="2" applyNumberFormat="1" applyFont="1" applyFill="1" applyBorder="1" applyAlignment="1">
      <alignment horizontal="right" vertical="center"/>
    </xf>
    <xf numFmtId="0" fontId="277" fillId="47" borderId="0" xfId="90" applyFont="1" applyFill="1" applyAlignment="1">
      <alignment horizontal="left"/>
    </xf>
    <xf numFmtId="0" fontId="276" fillId="47" borderId="0" xfId="0" applyFont="1" applyFill="1"/>
    <xf numFmtId="0" fontId="278" fillId="47" borderId="0" xfId="92" applyFont="1" applyFill="1" applyAlignment="1">
      <alignment wrapText="1"/>
    </xf>
    <xf numFmtId="0" fontId="276" fillId="47" borderId="0" xfId="0" applyFont="1" applyFill="1" applyAlignment="1">
      <alignment wrapText="1"/>
    </xf>
    <xf numFmtId="0" fontId="276" fillId="47" borderId="0" xfId="0" applyFont="1" applyFill="1" applyAlignment="1">
      <alignment horizontal="left" indent="1"/>
    </xf>
    <xf numFmtId="0" fontId="277" fillId="47" borderId="10" xfId="90" applyFont="1" applyFill="1" applyBorder="1" applyAlignment="1">
      <alignment horizontal="left"/>
    </xf>
    <xf numFmtId="0" fontId="276" fillId="47" borderId="11" xfId="0" applyFont="1" applyFill="1" applyBorder="1" applyAlignment="1">
      <alignment wrapText="1"/>
    </xf>
    <xf numFmtId="0" fontId="276" fillId="47" borderId="80" xfId="0" applyFont="1" applyFill="1" applyBorder="1" applyAlignment="1">
      <alignment wrapText="1"/>
    </xf>
    <xf numFmtId="0" fontId="277" fillId="47" borderId="0" xfId="90" applyFont="1" applyFill="1" applyAlignment="1">
      <alignment horizontal="left" indent="1"/>
    </xf>
    <xf numFmtId="0" fontId="280" fillId="47" borderId="0" xfId="90" applyFont="1" applyFill="1" applyAlignment="1">
      <alignment horizontal="left"/>
    </xf>
    <xf numFmtId="0" fontId="0" fillId="42" borderId="71" xfId="0" applyFill="1" applyBorder="1" applyAlignment="1">
      <alignment horizontal="left" vertical="center" wrapText="1" indent="1"/>
    </xf>
    <xf numFmtId="0" fontId="0" fillId="42" borderId="76" xfId="0" applyFill="1" applyBorder="1" applyAlignment="1">
      <alignment horizontal="left" vertical="top" wrapText="1" indent="1"/>
    </xf>
    <xf numFmtId="0" fontId="0" fillId="42" borderId="76" xfId="0" applyFill="1" applyBorder="1" applyAlignment="1">
      <alignment horizontal="left" vertical="top" wrapText="1"/>
    </xf>
    <xf numFmtId="0" fontId="0" fillId="42" borderId="112" xfId="0" applyFill="1" applyBorder="1" applyAlignment="1">
      <alignment horizontal="left" vertical="center" wrapText="1" indent="1"/>
    </xf>
    <xf numFmtId="0" fontId="0" fillId="42" borderId="113" xfId="0" applyFill="1" applyBorder="1" applyAlignment="1">
      <alignment horizontal="left" vertical="top" wrapText="1" indent="1"/>
    </xf>
    <xf numFmtId="0" fontId="0" fillId="42" borderId="113" xfId="0" applyFill="1" applyBorder="1" applyAlignment="1">
      <alignment horizontal="left" vertical="top" wrapText="1"/>
    </xf>
    <xf numFmtId="10" fontId="0" fillId="0" borderId="0" xfId="77" applyNumberFormat="1" applyFont="1"/>
    <xf numFmtId="351" fontId="0" fillId="0" borderId="0" xfId="0" applyNumberFormat="1"/>
    <xf numFmtId="172" fontId="0" fillId="3" borderId="0" xfId="0" applyNumberFormat="1" applyFill="1" applyAlignment="1">
      <alignment horizontal="left" vertical="top"/>
    </xf>
    <xf numFmtId="0" fontId="0" fillId="0" borderId="0" xfId="0" applyProtection="1">
      <protection locked="0"/>
    </xf>
    <xf numFmtId="0" fontId="10" fillId="3" borderId="0" xfId="0" applyFont="1" applyFill="1" applyAlignment="1">
      <alignment horizontal="left" vertical="center" indent="1"/>
    </xf>
    <xf numFmtId="0" fontId="0" fillId="0" borderId="0" xfId="0" applyAlignment="1">
      <alignment horizontal="left" wrapText="1" indent="1"/>
    </xf>
    <xf numFmtId="3" fontId="10" fillId="0" borderId="89" xfId="89" applyNumberFormat="1" applyFont="1" applyBorder="1" applyAlignment="1">
      <alignment horizontal="left" indent="1"/>
    </xf>
    <xf numFmtId="349" fontId="0" fillId="0" borderId="63" xfId="0" applyNumberFormat="1" applyBorder="1" applyAlignment="1">
      <alignment horizontal="right" indent="1"/>
    </xf>
    <xf numFmtId="178" fontId="0" fillId="0" borderId="63" xfId="0" applyNumberFormat="1" applyBorder="1" applyAlignment="1">
      <alignment horizontal="right" indent="1"/>
    </xf>
    <xf numFmtId="164" fontId="0" fillId="0" borderId="63" xfId="0" applyNumberFormat="1" applyBorder="1" applyAlignment="1">
      <alignment horizontal="right" indent="1"/>
    </xf>
    <xf numFmtId="3" fontId="10" fillId="0" borderId="87" xfId="89" applyNumberFormat="1" applyFont="1" applyBorder="1" applyAlignment="1">
      <alignment horizontal="left" indent="1"/>
    </xf>
    <xf numFmtId="178" fontId="0" fillId="0" borderId="66" xfId="0" applyNumberFormat="1" applyBorder="1" applyAlignment="1">
      <alignment horizontal="right" indent="1"/>
    </xf>
    <xf numFmtId="172" fontId="0" fillId="0" borderId="63" xfId="0" applyNumberFormat="1" applyBorder="1" applyAlignment="1">
      <alignment horizontal="right" indent="1"/>
    </xf>
    <xf numFmtId="2" fontId="10" fillId="134" borderId="0" xfId="7" applyNumberFormat="1" applyFont="1" applyFill="1" applyAlignment="1">
      <alignment horizontal="center"/>
    </xf>
    <xf numFmtId="0" fontId="10" fillId="134" borderId="0" xfId="7" applyFont="1" applyFill="1" applyAlignment="1">
      <alignment horizontal="center"/>
    </xf>
    <xf numFmtId="173" fontId="10" fillId="134" borderId="0" xfId="7" applyNumberFormat="1" applyFont="1" applyFill="1" applyAlignment="1">
      <alignment horizontal="center"/>
    </xf>
    <xf numFmtId="9" fontId="0" fillId="134" borderId="0" xfId="0" applyNumberFormat="1" applyFill="1" applyAlignment="1">
      <alignment horizontal="center"/>
    </xf>
    <xf numFmtId="178" fontId="10" fillId="0" borderId="0" xfId="7" applyNumberFormat="1" applyFont="1" applyAlignment="1">
      <alignment horizontal="center" vertical="center"/>
    </xf>
    <xf numFmtId="0" fontId="10" fillId="42" borderId="0" xfId="7" applyFont="1" applyFill="1" applyAlignment="1">
      <alignment horizontal="center"/>
    </xf>
    <xf numFmtId="10" fontId="10" fillId="0" borderId="0" xfId="7" applyNumberFormat="1" applyFont="1" applyAlignment="1">
      <alignment horizontal="center" vertical="center"/>
    </xf>
    <xf numFmtId="0" fontId="0" fillId="0" borderId="0" xfId="0" applyAlignment="1">
      <alignment horizontal="left" vertical="top" indent="2"/>
    </xf>
    <xf numFmtId="168" fontId="36" fillId="0" borderId="0" xfId="0" applyNumberFormat="1" applyFont="1" applyAlignment="1">
      <alignment vertical="center"/>
    </xf>
    <xf numFmtId="0" fontId="0" fillId="134" borderId="0" xfId="0" applyFill="1"/>
    <xf numFmtId="0" fontId="282" fillId="0" borderId="0" xfId="0" applyFont="1" applyAlignment="1">
      <alignment horizontal="left"/>
    </xf>
    <xf numFmtId="0" fontId="10" fillId="0" borderId="0" xfId="0" applyFont="1"/>
    <xf numFmtId="351" fontId="10" fillId="0" borderId="0" xfId="0" applyNumberFormat="1" applyFont="1"/>
    <xf numFmtId="0" fontId="11" fillId="0" borderId="0" xfId="7" applyFont="1" applyAlignment="1">
      <alignment horizontal="center" vertical="center" wrapText="1"/>
    </xf>
    <xf numFmtId="0" fontId="261" fillId="0" borderId="0" xfId="7" applyFont="1" applyAlignment="1">
      <alignment horizontal="center" vertical="center" wrapText="1"/>
    </xf>
    <xf numFmtId="347" fontId="247" fillId="0" borderId="0" xfId="0" applyNumberFormat="1" applyFont="1" applyAlignment="1">
      <alignment vertical="center"/>
    </xf>
    <xf numFmtId="3"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left" vertical="center"/>
    </xf>
    <xf numFmtId="3" fontId="0" fillId="0" borderId="0" xfId="0" applyNumberFormat="1" applyAlignment="1">
      <alignment vertical="center" wrapText="1"/>
    </xf>
    <xf numFmtId="0" fontId="10" fillId="0" borderId="0" xfId="0" applyFont="1" applyAlignment="1">
      <alignment horizontal="left" vertical="center" indent="1"/>
    </xf>
    <xf numFmtId="0" fontId="0" fillId="0" borderId="0" xfId="0" quotePrefix="1"/>
    <xf numFmtId="172" fontId="11" fillId="0" borderId="0" xfId="2" applyNumberFormat="1" applyFont="1" applyFill="1" applyBorder="1"/>
    <xf numFmtId="10" fontId="0" fillId="0" borderId="85" xfId="0" applyNumberFormat="1" applyBorder="1"/>
    <xf numFmtId="10" fontId="0" fillId="0" borderId="61" xfId="0" applyNumberFormat="1" applyBorder="1"/>
    <xf numFmtId="10" fontId="0" fillId="0" borderId="83" xfId="0" applyNumberFormat="1" applyBorder="1"/>
    <xf numFmtId="0" fontId="26" fillId="0" borderId="72" xfId="0" applyFont="1" applyBorder="1" applyAlignment="1">
      <alignment horizontal="left" indent="1"/>
    </xf>
    <xf numFmtId="0" fontId="0" fillId="0" borderId="73" xfId="0" applyBorder="1" applyAlignment="1">
      <alignment horizontal="left" indent="1"/>
    </xf>
    <xf numFmtId="0" fontId="0" fillId="0" borderId="101" xfId="0" applyBorder="1" applyAlignment="1">
      <alignment horizontal="left" indent="1"/>
    </xf>
    <xf numFmtId="0" fontId="0" fillId="0" borderId="74" xfId="0" applyBorder="1" applyAlignment="1">
      <alignment horizontal="left" indent="1"/>
    </xf>
    <xf numFmtId="0" fontId="0" fillId="0" borderId="72" xfId="0" applyBorder="1" applyAlignment="1">
      <alignment horizontal="left" indent="1"/>
    </xf>
    <xf numFmtId="0" fontId="0" fillId="3" borderId="79" xfId="0" applyFill="1" applyBorder="1" applyAlignment="1">
      <alignment horizontal="left" indent="1"/>
    </xf>
    <xf numFmtId="0" fontId="0" fillId="135" borderId="0" xfId="0" applyFill="1" applyAlignment="1">
      <alignment horizontal="center" vertical="center"/>
    </xf>
    <xf numFmtId="0" fontId="8" fillId="135" borderId="0" xfId="0" applyFont="1" applyFill="1" applyAlignment="1">
      <alignment horizontal="left" vertical="top" indent="1"/>
    </xf>
    <xf numFmtId="178" fontId="0" fillId="0" borderId="0" xfId="0" applyNumberFormat="1"/>
    <xf numFmtId="0" fontId="36" fillId="0" borderId="0" xfId="0" applyFont="1"/>
    <xf numFmtId="0" fontId="0" fillId="0" borderId="0" xfId="0" applyAlignment="1" applyProtection="1">
      <alignment horizontal="center"/>
      <protection locked="0"/>
    </xf>
    <xf numFmtId="0" fontId="8" fillId="135" borderId="0" xfId="0" applyFont="1" applyFill="1" applyAlignment="1">
      <alignment horizontal="left" vertical="center" indent="1"/>
    </xf>
    <xf numFmtId="0" fontId="0" fillId="135" borderId="0" xfId="0" applyFill="1" applyAlignment="1">
      <alignment horizontal="left" vertical="top"/>
    </xf>
    <xf numFmtId="0" fontId="0" fillId="135" borderId="0" xfId="0" applyFill="1"/>
    <xf numFmtId="0" fontId="0" fillId="3" borderId="0" xfId="0" applyFill="1" applyAlignment="1">
      <alignment horizontal="left" vertical="top" indent="1"/>
    </xf>
    <xf numFmtId="0" fontId="10" fillId="0" borderId="0" xfId="84" applyFont="1" applyAlignment="1"/>
    <xf numFmtId="0" fontId="11" fillId="0" borderId="0" xfId="85" applyFont="1" applyAlignment="1">
      <alignment horizontal="left" vertical="center" wrapText="1"/>
    </xf>
    <xf numFmtId="0" fontId="10" fillId="0" borderId="0" xfId="85" applyFont="1" applyAlignment="1">
      <alignment horizontal="left" vertical="center" wrapText="1"/>
    </xf>
    <xf numFmtId="0" fontId="10" fillId="0" borderId="79" xfId="7" applyFont="1" applyBorder="1" applyAlignment="1">
      <alignment horizontal="left" vertical="center" wrapText="1" indent="1"/>
    </xf>
    <xf numFmtId="173" fontId="0" fillId="119" borderId="59" xfId="0" applyNumberFormat="1" applyFill="1" applyBorder="1" applyAlignment="1">
      <alignment horizontal="right" indent="1"/>
    </xf>
    <xf numFmtId="173" fontId="0" fillId="119" borderId="60" xfId="0" applyNumberFormat="1" applyFill="1" applyBorder="1" applyAlignment="1">
      <alignment horizontal="right" indent="1"/>
    </xf>
    <xf numFmtId="173" fontId="0" fillId="119" borderId="62" xfId="0" applyNumberFormat="1" applyFill="1" applyBorder="1" applyAlignment="1">
      <alignment horizontal="right" indent="1"/>
    </xf>
    <xf numFmtId="10" fontId="0" fillId="0" borderId="89" xfId="0" applyNumberFormat="1" applyBorder="1"/>
    <xf numFmtId="173" fontId="0" fillId="119" borderId="64" xfId="0" applyNumberFormat="1" applyFill="1" applyBorder="1" applyAlignment="1">
      <alignment horizontal="right" indent="1"/>
    </xf>
    <xf numFmtId="10" fontId="0" fillId="0" borderId="87" xfId="0" applyNumberFormat="1" applyBorder="1"/>
    <xf numFmtId="10" fontId="0" fillId="0" borderId="81" xfId="0" applyNumberFormat="1" applyBorder="1"/>
    <xf numFmtId="173" fontId="0" fillId="119" borderId="66" xfId="0" applyNumberFormat="1" applyFill="1" applyBorder="1" applyAlignment="1">
      <alignment horizontal="right" indent="1"/>
    </xf>
    <xf numFmtId="173" fontId="0" fillId="119" borderId="67" xfId="0" applyNumberFormat="1" applyFill="1" applyBorder="1" applyAlignment="1">
      <alignment horizontal="right" indent="1"/>
    </xf>
    <xf numFmtId="10" fontId="0" fillId="0" borderId="90" xfId="0" applyNumberFormat="1" applyBorder="1"/>
    <xf numFmtId="0" fontId="276" fillId="47" borderId="21" xfId="0" applyFont="1" applyFill="1" applyBorder="1" applyAlignment="1">
      <alignment wrapText="1"/>
    </xf>
    <xf numFmtId="0" fontId="10" fillId="42" borderId="114" xfId="7" applyFont="1" applyFill="1" applyBorder="1" applyAlignment="1">
      <alignment horizontal="left" indent="1"/>
    </xf>
    <xf numFmtId="1" fontId="8" fillId="2" borderId="115" xfId="0" applyNumberFormat="1" applyFont="1" applyFill="1" applyBorder="1" applyAlignment="1">
      <alignment horizontal="center" vertical="center"/>
    </xf>
    <xf numFmtId="1" fontId="8" fillId="2" borderId="116" xfId="0" applyNumberFormat="1" applyFont="1" applyFill="1" applyBorder="1" applyAlignment="1">
      <alignment horizontal="center" vertical="center"/>
    </xf>
    <xf numFmtId="1" fontId="0" fillId="0" borderId="114" xfId="0" applyNumberFormat="1" applyBorder="1" applyAlignment="1">
      <alignment horizontal="left" indent="1"/>
    </xf>
    <xf numFmtId="0" fontId="0" fillId="0" borderId="117" xfId="0" applyBorder="1"/>
    <xf numFmtId="0" fontId="277" fillId="47" borderId="21" xfId="90" applyFont="1" applyFill="1" applyBorder="1" applyAlignment="1">
      <alignment horizontal="left" indent="1"/>
    </xf>
    <xf numFmtId="0" fontId="277" fillId="47" borderId="21" xfId="90" applyFont="1" applyFill="1" applyBorder="1" applyAlignment="1">
      <alignment horizontal="left"/>
    </xf>
    <xf numFmtId="0" fontId="30" fillId="47" borderId="21" xfId="90" applyFont="1" applyFill="1" applyBorder="1" applyAlignment="1">
      <alignment horizontal="left"/>
    </xf>
    <xf numFmtId="0" fontId="32" fillId="47" borderId="21" xfId="75" applyFont="1" applyFill="1" applyBorder="1"/>
    <xf numFmtId="0" fontId="276" fillId="47" borderId="21" xfId="0" applyFont="1" applyFill="1" applyBorder="1" applyAlignment="1">
      <alignment horizontal="left" indent="1"/>
    </xf>
    <xf numFmtId="0" fontId="0" fillId="47" borderId="21" xfId="0" applyFill="1" applyBorder="1" applyAlignment="1">
      <alignment horizontal="center" vertical="center"/>
    </xf>
    <xf numFmtId="0" fontId="30" fillId="47" borderId="21" xfId="90" applyFont="1" applyFill="1" applyBorder="1" applyAlignment="1">
      <alignment horizontal="center" vertical="center"/>
    </xf>
    <xf numFmtId="0" fontId="280" fillId="47" borderId="21" xfId="90" applyFont="1" applyFill="1" applyBorder="1" applyAlignment="1">
      <alignment horizontal="left"/>
    </xf>
    <xf numFmtId="0" fontId="35" fillId="47" borderId="21" xfId="90" applyFont="1" applyFill="1" applyBorder="1" applyAlignment="1">
      <alignment horizontal="center" vertical="center"/>
    </xf>
    <xf numFmtId="0" fontId="35" fillId="47" borderId="21" xfId="90" applyFont="1" applyFill="1" applyBorder="1" applyAlignment="1">
      <alignment horizontal="left"/>
    </xf>
    <xf numFmtId="0" fontId="31" fillId="47" borderId="21" xfId="75" applyFont="1" applyFill="1" applyBorder="1"/>
    <xf numFmtId="0" fontId="10" fillId="0" borderId="118" xfId="48234" applyFont="1" applyBorder="1" applyAlignment="1">
      <alignment horizontal="center" vertical="center"/>
    </xf>
    <xf numFmtId="167" fontId="7" fillId="43" borderId="26" xfId="48236">
      <alignment vertical="center"/>
    </xf>
    <xf numFmtId="167" fontId="10" fillId="44" borderId="114" xfId="85" applyNumberFormat="1" applyFont="1" applyFill="1" applyBorder="1"/>
    <xf numFmtId="0" fontId="10" fillId="0" borderId="114" xfId="85" applyFont="1" applyBorder="1"/>
    <xf numFmtId="0" fontId="30" fillId="47" borderId="21" xfId="90" applyFont="1" applyFill="1" applyBorder="1" applyAlignment="1">
      <alignment horizontal="center"/>
    </xf>
    <xf numFmtId="10" fontId="0" fillId="119" borderId="63" xfId="77" applyNumberFormat="1" applyFont="1" applyFill="1" applyBorder="1" applyAlignment="1">
      <alignment horizontal="right" indent="1"/>
    </xf>
    <xf numFmtId="0" fontId="0" fillId="3" borderId="0" xfId="0" applyFill="1" applyAlignment="1">
      <alignment horizontal="left" vertical="top"/>
    </xf>
    <xf numFmtId="0" fontId="8" fillId="3" borderId="0" xfId="0" applyFont="1" applyFill="1" applyAlignment="1">
      <alignment horizontal="left" vertical="top"/>
    </xf>
    <xf numFmtId="0" fontId="8" fillId="3" borderId="0" xfId="0" applyFont="1" applyFill="1" applyAlignment="1">
      <alignment horizontal="center" vertical="center" wrapText="1"/>
    </xf>
    <xf numFmtId="0" fontId="0" fillId="3" borderId="0" xfId="0" applyFill="1" applyAlignment="1">
      <alignment horizontal="right" vertical="top"/>
    </xf>
    <xf numFmtId="1" fontId="8" fillId="2" borderId="6" xfId="0" applyNumberFormat="1" applyFont="1" applyFill="1" applyBorder="1" applyAlignment="1">
      <alignment horizontal="center" vertical="center"/>
    </xf>
    <xf numFmtId="3" fontId="0" fillId="0" borderId="117" xfId="0" applyNumberFormat="1" applyBorder="1" applyAlignment="1">
      <alignment horizontal="center" vertical="center" wrapText="1"/>
    </xf>
    <xf numFmtId="0" fontId="0" fillId="0" borderId="84" xfId="0" applyBorder="1" applyAlignment="1">
      <alignment horizontal="left" vertical="center" wrapText="1" indent="1"/>
    </xf>
    <xf numFmtId="0" fontId="0" fillId="0" borderId="0" xfId="0" applyAlignment="1">
      <alignment vertical="top"/>
    </xf>
    <xf numFmtId="0" fontId="251" fillId="48" borderId="0" xfId="78" applyFont="1" applyFill="1" applyProtection="1">
      <protection locked="0"/>
    </xf>
    <xf numFmtId="0" fontId="250" fillId="48" borderId="0" xfId="79" applyFont="1" applyFill="1" applyAlignment="1">
      <alignment horizontal="left"/>
    </xf>
    <xf numFmtId="0" fontId="252" fillId="48" borderId="0" xfId="78" applyFont="1" applyFill="1" applyProtection="1">
      <protection locked="0"/>
    </xf>
    <xf numFmtId="0" fontId="250" fillId="48" borderId="0" xfId="78" applyFont="1" applyFill="1" applyAlignment="1" applyProtection="1">
      <alignment horizontal="left"/>
      <protection locked="0"/>
    </xf>
    <xf numFmtId="178" fontId="10" fillId="52" borderId="6" xfId="7" applyNumberFormat="1" applyFont="1" applyFill="1" applyBorder="1" applyAlignment="1">
      <alignment horizontal="center" vertical="center"/>
    </xf>
    <xf numFmtId="9" fontId="0" fillId="0" borderId="6" xfId="77" applyFont="1" applyBorder="1" applyAlignment="1">
      <alignment horizontal="center" vertical="center"/>
    </xf>
    <xf numFmtId="9" fontId="0" fillId="0" borderId="6" xfId="77" applyFont="1" applyFill="1" applyBorder="1" applyAlignment="1">
      <alignment horizontal="center" vertical="center"/>
    </xf>
    <xf numFmtId="0" fontId="284" fillId="53" borderId="0" xfId="0" applyFont="1" applyFill="1" applyAlignment="1">
      <alignment horizontal="left" vertical="top"/>
    </xf>
    <xf numFmtId="0" fontId="0" fillId="51" borderId="0" xfId="0" applyFill="1" applyAlignment="1">
      <alignment horizontal="left" vertical="top"/>
    </xf>
    <xf numFmtId="0" fontId="277" fillId="0" borderId="0" xfId="90" applyFont="1" applyAlignment="1">
      <alignment horizontal="left"/>
    </xf>
    <xf numFmtId="0" fontId="276" fillId="0" borderId="0" xfId="0" applyFont="1"/>
    <xf numFmtId="0" fontId="276" fillId="0" borderId="0" xfId="0" applyFont="1" applyAlignment="1">
      <alignment wrapText="1"/>
    </xf>
    <xf numFmtId="0" fontId="276" fillId="0" borderId="0" xfId="0" applyFont="1" applyAlignment="1">
      <alignment horizontal="left" indent="1"/>
    </xf>
    <xf numFmtId="0" fontId="10" fillId="0" borderId="11" xfId="77" applyNumberFormat="1" applyFont="1" applyFill="1" applyBorder="1" applyAlignment="1" applyProtection="1">
      <alignment horizontal="center"/>
    </xf>
    <xf numFmtId="0" fontId="10" fillId="51" borderId="0" xfId="77" applyNumberFormat="1" applyFont="1" applyFill="1" applyBorder="1" applyAlignment="1" applyProtection="1">
      <alignment horizontal="left" indent="1"/>
    </xf>
    <xf numFmtId="0" fontId="11" fillId="51" borderId="0" xfId="77" applyNumberFormat="1" applyFont="1" applyFill="1" applyBorder="1" applyAlignment="1" applyProtection="1">
      <alignment horizontal="left" indent="1"/>
    </xf>
    <xf numFmtId="0" fontId="0" fillId="51" borderId="0" xfId="0" applyFill="1" applyAlignment="1">
      <alignment horizontal="left" indent="1"/>
    </xf>
    <xf numFmtId="0" fontId="8" fillId="51" borderId="0" xfId="0" applyFont="1" applyFill="1" applyAlignment="1">
      <alignment horizontal="left" indent="1"/>
    </xf>
    <xf numFmtId="1" fontId="0" fillId="51" borderId="11" xfId="0" applyNumberFormat="1" applyFill="1" applyBorder="1" applyAlignment="1">
      <alignment horizontal="center"/>
    </xf>
    <xf numFmtId="1" fontId="0" fillId="51" borderId="0" xfId="0" applyNumberFormat="1" applyFill="1" applyAlignment="1">
      <alignment horizontal="center"/>
    </xf>
    <xf numFmtId="3" fontId="0" fillId="0" borderId="114" xfId="0" applyNumberFormat="1" applyBorder="1" applyAlignment="1">
      <alignment horizontal="center" vertical="center" wrapText="1"/>
    </xf>
    <xf numFmtId="0" fontId="0" fillId="0" borderId="89" xfId="0" applyBorder="1" applyAlignment="1">
      <alignment horizontal="left" vertical="center" wrapText="1" indent="1"/>
    </xf>
    <xf numFmtId="179" fontId="10" fillId="3" borderId="0" xfId="0" applyNumberFormat="1" applyFont="1" applyFill="1" applyAlignment="1" applyProtection="1">
      <alignment horizontal="left" vertical="center" indent="1"/>
      <protection locked="0"/>
    </xf>
    <xf numFmtId="0" fontId="282" fillId="0" borderId="0" xfId="0" applyFont="1" applyAlignment="1">
      <alignment horizontal="left" vertical="top"/>
    </xf>
    <xf numFmtId="10" fontId="0" fillId="0" borderId="0" xfId="0" applyNumberFormat="1"/>
    <xf numFmtId="173" fontId="0" fillId="0" borderId="119" xfId="0" applyNumberFormat="1" applyBorder="1" applyAlignment="1">
      <alignment horizontal="right" indent="1"/>
    </xf>
    <xf numFmtId="173" fontId="0" fillId="119" borderId="77" xfId="0" applyNumberFormat="1" applyFill="1" applyBorder="1" applyAlignment="1">
      <alignment horizontal="right" indent="1"/>
    </xf>
    <xf numFmtId="173" fontId="0" fillId="119" borderId="121" xfId="0" applyNumberFormat="1" applyFill="1" applyBorder="1" applyAlignment="1">
      <alignment horizontal="right" indent="1"/>
    </xf>
    <xf numFmtId="10" fontId="0" fillId="119" borderId="122" xfId="77" applyNumberFormat="1" applyFont="1" applyFill="1" applyBorder="1" applyAlignment="1">
      <alignment horizontal="right" indent="1"/>
    </xf>
    <xf numFmtId="173" fontId="0" fillId="119" borderId="123" xfId="0" applyNumberFormat="1" applyFill="1" applyBorder="1" applyAlignment="1">
      <alignment horizontal="right" indent="1"/>
    </xf>
    <xf numFmtId="10" fontId="0" fillId="0" borderId="124" xfId="0" applyNumberFormat="1" applyBorder="1"/>
    <xf numFmtId="173" fontId="0" fillId="119" borderId="122" xfId="0" applyNumberFormat="1" applyFill="1" applyBorder="1" applyAlignment="1">
      <alignment horizontal="right" indent="1"/>
    </xf>
    <xf numFmtId="10" fontId="0" fillId="0" borderId="125" xfId="0" applyNumberFormat="1" applyBorder="1"/>
    <xf numFmtId="10" fontId="0" fillId="0" borderId="126" xfId="0" applyNumberFormat="1" applyBorder="1"/>
    <xf numFmtId="173" fontId="0" fillId="119" borderId="127" xfId="0" applyNumberFormat="1" applyFill="1" applyBorder="1" applyAlignment="1">
      <alignment horizontal="right" indent="1"/>
    </xf>
    <xf numFmtId="173" fontId="0" fillId="119" borderId="128" xfId="0" applyNumberFormat="1" applyFill="1" applyBorder="1" applyAlignment="1">
      <alignment horizontal="right" indent="1"/>
    </xf>
    <xf numFmtId="1" fontId="8" fillId="53" borderId="129" xfId="0" applyNumberFormat="1" applyFont="1" applyFill="1" applyBorder="1" applyAlignment="1">
      <alignment horizontal="center" vertical="center"/>
    </xf>
    <xf numFmtId="1" fontId="8" fillId="53" borderId="130" xfId="0" applyNumberFormat="1" applyFont="1" applyFill="1" applyBorder="1" applyAlignment="1">
      <alignment horizontal="center" vertical="center"/>
    </xf>
    <xf numFmtId="1" fontId="8" fillId="53" borderId="131" xfId="0" applyNumberFormat="1" applyFont="1" applyFill="1" applyBorder="1" applyAlignment="1">
      <alignment horizontal="center" vertical="center"/>
    </xf>
    <xf numFmtId="1" fontId="8" fillId="53" borderId="132" xfId="0" applyNumberFormat="1" applyFont="1" applyFill="1" applyBorder="1" applyAlignment="1">
      <alignment horizontal="center" vertical="center"/>
    </xf>
    <xf numFmtId="173" fontId="0" fillId="119" borderId="136" xfId="0" applyNumberFormat="1" applyFill="1" applyBorder="1" applyAlignment="1">
      <alignment horizontal="right" indent="1"/>
    </xf>
    <xf numFmtId="173" fontId="0" fillId="119" borderId="137" xfId="0" applyNumberFormat="1" applyFill="1" applyBorder="1" applyAlignment="1">
      <alignment horizontal="right" indent="1"/>
    </xf>
    <xf numFmtId="10" fontId="0" fillId="0" borderId="138" xfId="0" applyNumberFormat="1" applyBorder="1"/>
    <xf numFmtId="10" fontId="0" fillId="119" borderId="137" xfId="77" applyNumberFormat="1" applyFont="1" applyFill="1" applyBorder="1" applyAlignment="1">
      <alignment horizontal="right" indent="1"/>
    </xf>
    <xf numFmtId="10" fontId="0" fillId="119" borderId="139" xfId="77" applyNumberFormat="1" applyFont="1" applyFill="1" applyBorder="1" applyAlignment="1">
      <alignment horizontal="right" indent="1"/>
    </xf>
    <xf numFmtId="3" fontId="10" fillId="0" borderId="136" xfId="89" applyNumberFormat="1" applyFont="1" applyBorder="1" applyAlignment="1">
      <alignment horizontal="left" indent="1"/>
    </xf>
    <xf numFmtId="0" fontId="0" fillId="0" borderId="137" xfId="0" applyBorder="1" applyAlignment="1">
      <alignment horizontal="center"/>
    </xf>
    <xf numFmtId="0" fontId="0" fillId="0" borderId="140" xfId="0" applyBorder="1" applyAlignment="1">
      <alignment horizontal="center"/>
    </xf>
    <xf numFmtId="0" fontId="0" fillId="0" borderId="141" xfId="0" applyBorder="1" applyAlignment="1">
      <alignment horizontal="center" vertical="center"/>
    </xf>
    <xf numFmtId="3" fontId="10" fillId="0" borderId="123" xfId="89" applyNumberFormat="1" applyFont="1" applyBorder="1" applyAlignment="1">
      <alignment horizontal="left" indent="1"/>
    </xf>
    <xf numFmtId="0" fontId="0" fillId="0" borderId="142" xfId="0" applyBorder="1" applyAlignment="1">
      <alignment horizontal="center" vertical="center"/>
    </xf>
    <xf numFmtId="3" fontId="10" fillId="0" borderId="143" xfId="89" applyNumberFormat="1" applyFont="1" applyBorder="1" applyAlignment="1">
      <alignment horizontal="left" indent="1"/>
    </xf>
    <xf numFmtId="0" fontId="0" fillId="0" borderId="127" xfId="0" applyBorder="1" applyAlignment="1">
      <alignment horizontal="center"/>
    </xf>
    <xf numFmtId="0" fontId="0" fillId="0" borderId="144" xfId="0" applyBorder="1" applyAlignment="1">
      <alignment horizontal="center"/>
    </xf>
    <xf numFmtId="0" fontId="0" fillId="0" borderId="145" xfId="0" applyBorder="1" applyAlignment="1">
      <alignment horizontal="center" vertical="center"/>
    </xf>
    <xf numFmtId="0" fontId="10" fillId="0" borderId="129" xfId="7" applyFont="1" applyBorder="1" applyAlignment="1">
      <alignment horizontal="left" indent="1"/>
    </xf>
    <xf numFmtId="10" fontId="0" fillId="0" borderId="146" xfId="0" applyNumberFormat="1" applyBorder="1"/>
    <xf numFmtId="0" fontId="0" fillId="0" borderId="131" xfId="0" applyBorder="1"/>
    <xf numFmtId="0" fontId="0" fillId="0" borderId="147" xfId="0" applyBorder="1"/>
    <xf numFmtId="0" fontId="0" fillId="0" borderId="132" xfId="0" applyBorder="1"/>
    <xf numFmtId="0" fontId="0" fillId="0" borderId="148" xfId="0" applyBorder="1" applyAlignment="1">
      <alignment horizontal="center" vertical="center" wrapText="1"/>
    </xf>
    <xf numFmtId="0" fontId="10" fillId="0" borderId="149" xfId="7" applyFont="1" applyBorder="1" applyAlignment="1">
      <alignment horizontal="center" vertical="center" wrapText="1"/>
    </xf>
    <xf numFmtId="0" fontId="0" fillId="0" borderId="6" xfId="0" applyBorder="1" applyAlignment="1">
      <alignment horizontal="left" vertical="center"/>
    </xf>
    <xf numFmtId="0" fontId="248" fillId="0" borderId="6" xfId="0" applyFont="1" applyBorder="1" applyAlignment="1">
      <alignment horizontal="center" vertical="center"/>
    </xf>
    <xf numFmtId="3" fontId="0" fillId="51" borderId="0" xfId="0" applyNumberFormat="1" applyFill="1" applyAlignment="1">
      <alignment horizontal="left" vertical="top"/>
    </xf>
    <xf numFmtId="0" fontId="8" fillId="116" borderId="0" xfId="0" applyFont="1" applyFill="1" applyAlignment="1">
      <alignment horizontal="left" vertical="center"/>
    </xf>
    <xf numFmtId="0" fontId="286" fillId="0" borderId="0" xfId="0" applyFont="1" applyAlignment="1">
      <alignment horizontal="left" vertical="top"/>
    </xf>
    <xf numFmtId="173" fontId="288" fillId="0" borderId="0" xfId="75" applyNumberFormat="1" applyFont="1" applyAlignment="1">
      <alignment horizontal="center"/>
    </xf>
    <xf numFmtId="173" fontId="288" fillId="0" borderId="119" xfId="75" applyNumberFormat="1" applyFont="1" applyBorder="1" applyAlignment="1">
      <alignment horizontal="center"/>
    </xf>
    <xf numFmtId="173" fontId="288" fillId="36" borderId="6" xfId="75" applyNumberFormat="1" applyFont="1" applyFill="1" applyBorder="1" applyAlignment="1">
      <alignment horizontal="center" vertical="center"/>
    </xf>
    <xf numFmtId="173" fontId="288" fillId="0" borderId="10" xfId="75" applyNumberFormat="1" applyFont="1" applyBorder="1" applyAlignment="1">
      <alignment horizontal="center" vertical="center"/>
    </xf>
    <xf numFmtId="173" fontId="288" fillId="0" borderId="0" xfId="75" applyNumberFormat="1" applyFont="1" applyAlignment="1">
      <alignment horizontal="center" vertical="center"/>
    </xf>
    <xf numFmtId="0" fontId="0" fillId="0" borderId="0" xfId="0" applyAlignment="1" applyProtection="1">
      <alignment horizontal="left" vertical="center"/>
      <protection locked="0"/>
    </xf>
    <xf numFmtId="175" fontId="277" fillId="47" borderId="0" xfId="90" applyNumberFormat="1" applyFont="1" applyFill="1" applyAlignment="1">
      <alignment horizontal="left"/>
    </xf>
    <xf numFmtId="354" fontId="10" fillId="134" borderId="0" xfId="7" applyNumberFormat="1" applyFont="1" applyFill="1" applyAlignment="1">
      <alignment horizontal="center"/>
    </xf>
    <xf numFmtId="0" fontId="34" fillId="0" borderId="0" xfId="92" quotePrefix="1" applyAlignment="1">
      <alignment horizontal="left" indent="1"/>
    </xf>
    <xf numFmtId="0" fontId="0" fillId="0" borderId="6" xfId="0" applyBorder="1" applyAlignment="1">
      <alignment horizontal="center" vertical="center" wrapText="1"/>
    </xf>
    <xf numFmtId="1" fontId="0" fillId="0" borderId="0" xfId="0" applyNumberFormat="1" applyAlignment="1">
      <alignment vertical="top"/>
    </xf>
    <xf numFmtId="172" fontId="0" fillId="0" borderId="0" xfId="0" applyNumberFormat="1" applyAlignment="1">
      <alignment horizontal="right" vertical="center"/>
    </xf>
    <xf numFmtId="0" fontId="8" fillId="0" borderId="10" xfId="0" applyFont="1" applyBorder="1"/>
    <xf numFmtId="0" fontId="286" fillId="0" borderId="10" xfId="0" applyFont="1" applyBorder="1"/>
    <xf numFmtId="0" fontId="10" fillId="37" borderId="6" xfId="75" applyFont="1" applyFill="1" applyBorder="1" applyAlignment="1">
      <alignment horizontal="center" vertical="center"/>
    </xf>
    <xf numFmtId="0" fontId="8" fillId="0" borderId="79" xfId="0" applyFont="1" applyBorder="1"/>
    <xf numFmtId="0" fontId="0" fillId="0" borderId="119" xfId="0" applyBorder="1" applyAlignment="1">
      <alignment horizontal="left" indent="1"/>
    </xf>
    <xf numFmtId="0" fontId="0" fillId="0" borderId="119" xfId="0" applyBorder="1" applyAlignment="1" applyProtection="1">
      <alignment horizontal="center" vertical="center"/>
      <protection locked="0"/>
    </xf>
    <xf numFmtId="352" fontId="0" fillId="0" borderId="119" xfId="0" applyNumberFormat="1"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10" fillId="0" borderId="6" xfId="7" applyFont="1" applyBorder="1" applyAlignment="1">
      <alignment horizontal="left" indent="1"/>
    </xf>
    <xf numFmtId="0" fontId="10" fillId="3" borderId="6" xfId="1" applyNumberFormat="1" applyFont="1" applyFill="1" applyBorder="1" applyAlignment="1" applyProtection="1">
      <alignment horizontal="right" vertical="center"/>
    </xf>
    <xf numFmtId="0" fontId="10" fillId="36" borderId="6" xfId="75" applyFont="1" applyFill="1" applyBorder="1" applyAlignment="1">
      <alignment horizontal="right" vertical="center"/>
    </xf>
    <xf numFmtId="0" fontId="25" fillId="36" borderId="6" xfId="75" applyFont="1" applyFill="1" applyBorder="1"/>
    <xf numFmtId="1" fontId="10" fillId="38" borderId="6" xfId="1" applyNumberFormat="1" applyFont="1" applyFill="1" applyBorder="1" applyAlignment="1" applyProtection="1">
      <alignment horizontal="right" vertical="center"/>
    </xf>
    <xf numFmtId="0" fontId="25" fillId="38" borderId="6" xfId="75" applyFont="1" applyFill="1" applyBorder="1"/>
    <xf numFmtId="0" fontId="10" fillId="0" borderId="6" xfId="7" applyFont="1" applyBorder="1" applyAlignment="1">
      <alignment horizontal="left" wrapText="1" indent="1"/>
    </xf>
    <xf numFmtId="0" fontId="10" fillId="36" borderId="6" xfId="75" applyFont="1" applyFill="1" applyBorder="1" applyAlignment="1">
      <alignment vertical="center"/>
    </xf>
    <xf numFmtId="0" fontId="25" fillId="39" borderId="6" xfId="75" applyFont="1" applyFill="1" applyBorder="1"/>
    <xf numFmtId="0" fontId="25" fillId="40" borderId="6" xfId="75" applyFont="1" applyFill="1" applyBorder="1"/>
    <xf numFmtId="175" fontId="10" fillId="36" borderId="6" xfId="75" applyNumberFormat="1" applyFont="1" applyFill="1" applyBorder="1" applyAlignment="1">
      <alignment vertical="center"/>
    </xf>
    <xf numFmtId="0" fontId="25" fillId="37" borderId="6" xfId="75" applyFont="1" applyFill="1" applyBorder="1"/>
    <xf numFmtId="0" fontId="25" fillId="41" borderId="6" xfId="75" applyFont="1" applyFill="1" applyBorder="1"/>
    <xf numFmtId="0" fontId="25" fillId="0" borderId="6" xfId="75" applyFont="1" applyBorder="1"/>
    <xf numFmtId="0" fontId="276" fillId="47" borderId="119" xfId="0" applyFont="1" applyFill="1" applyBorder="1" applyAlignment="1">
      <alignment wrapText="1"/>
    </xf>
    <xf numFmtId="170" fontId="10" fillId="38" borderId="6" xfId="77" applyNumberFormat="1" applyFont="1" applyFill="1" applyBorder="1" applyAlignment="1" applyProtection="1">
      <alignment vertical="center"/>
    </xf>
    <xf numFmtId="0" fontId="248" fillId="134" borderId="6" xfId="0" applyFont="1" applyFill="1" applyBorder="1" applyAlignment="1">
      <alignment horizontal="center" vertical="center"/>
    </xf>
    <xf numFmtId="10" fontId="10" fillId="38" borderId="6" xfId="77" applyNumberFormat="1" applyFont="1" applyFill="1" applyBorder="1" applyAlignment="1" applyProtection="1">
      <alignment vertical="center"/>
    </xf>
    <xf numFmtId="0" fontId="0" fillId="0" borderId="6" xfId="0" applyBorder="1" applyAlignment="1">
      <alignment horizontal="center"/>
    </xf>
    <xf numFmtId="0" fontId="0" fillId="0" borderId="6" xfId="0" applyBorder="1"/>
    <xf numFmtId="0" fontId="0" fillId="0" borderId="6" xfId="0" applyBorder="1" applyAlignment="1">
      <alignment horizontal="center" vertical="center"/>
    </xf>
    <xf numFmtId="14" fontId="0" fillId="0" borderId="6" xfId="0" applyNumberFormat="1" applyBorder="1" applyAlignment="1">
      <alignment horizontal="center" vertical="center"/>
    </xf>
    <xf numFmtId="14" fontId="10" fillId="42" borderId="6" xfId="7" applyNumberFormat="1" applyFont="1" applyFill="1" applyBorder="1" applyAlignment="1">
      <alignment horizontal="center" vertical="center"/>
    </xf>
    <xf numFmtId="0" fontId="8" fillId="2" borderId="6" xfId="0" applyFont="1" applyFill="1" applyBorder="1" applyAlignment="1">
      <alignment horizontal="center" vertical="center"/>
    </xf>
    <xf numFmtId="0" fontId="11" fillId="2" borderId="6" xfId="7" applyFont="1" applyFill="1" applyBorder="1" applyAlignment="1">
      <alignment horizontal="center" vertical="center"/>
    </xf>
    <xf numFmtId="0" fontId="10" fillId="0" borderId="6" xfId="7" applyFont="1" applyBorder="1" applyAlignment="1">
      <alignment horizontal="left" vertical="center" wrapText="1" indent="1"/>
    </xf>
    <xf numFmtId="0" fontId="0" fillId="0" borderId="28" xfId="0" applyBorder="1"/>
    <xf numFmtId="0" fontId="0" fillId="0" borderId="6" xfId="0" applyBorder="1" applyAlignment="1">
      <alignment horizontal="center" wrapText="1"/>
    </xf>
    <xf numFmtId="0" fontId="26" fillId="0" borderId="6" xfId="0" applyFont="1" applyBorder="1" applyAlignment="1">
      <alignment horizontal="left" indent="1"/>
    </xf>
    <xf numFmtId="0" fontId="33" fillId="0" borderId="6" xfId="75" applyFont="1" applyBorder="1" applyAlignment="1">
      <alignment horizontal="center" vertical="center"/>
    </xf>
    <xf numFmtId="0" fontId="24" fillId="0" borderId="6" xfId="75" applyFont="1" applyBorder="1" applyAlignment="1">
      <alignment horizontal="center"/>
    </xf>
    <xf numFmtId="175" fontId="10" fillId="36" borderId="6" xfId="75" applyNumberFormat="1" applyFont="1" applyFill="1" applyBorder="1"/>
    <xf numFmtId="0" fontId="30" fillId="47" borderId="119" xfId="90" applyFont="1" applyFill="1" applyBorder="1" applyAlignment="1">
      <alignment horizontal="left"/>
    </xf>
    <xf numFmtId="0" fontId="32" fillId="47" borderId="119" xfId="75" applyFont="1" applyFill="1" applyBorder="1"/>
    <xf numFmtId="0" fontId="277" fillId="47" borderId="119" xfId="90" applyFont="1" applyFill="1" applyBorder="1" applyAlignment="1">
      <alignment horizontal="left" indent="1"/>
    </xf>
    <xf numFmtId="0" fontId="30" fillId="47" borderId="119" xfId="90" applyFont="1" applyFill="1" applyBorder="1" applyAlignment="1">
      <alignment horizontal="center" vertical="center"/>
    </xf>
    <xf numFmtId="0" fontId="0" fillId="3" borderId="119" xfId="0" applyFill="1" applyBorder="1" applyAlignment="1">
      <alignment horizontal="left" indent="1"/>
    </xf>
    <xf numFmtId="0" fontId="0" fillId="3" borderId="119" xfId="0" applyFill="1" applyBorder="1" applyAlignment="1">
      <alignment horizontal="center" vertical="center"/>
    </xf>
    <xf numFmtId="0" fontId="280" fillId="47" borderId="119" xfId="90" applyFont="1" applyFill="1" applyBorder="1" applyAlignment="1">
      <alignment horizontal="left"/>
    </xf>
    <xf numFmtId="0" fontId="35" fillId="47" borderId="119" xfId="90" applyFont="1" applyFill="1" applyBorder="1" applyAlignment="1">
      <alignment horizontal="center" vertical="center"/>
    </xf>
    <xf numFmtId="0" fontId="35" fillId="47" borderId="119" xfId="90" applyFont="1" applyFill="1" applyBorder="1" applyAlignment="1">
      <alignment horizontal="left"/>
    </xf>
    <xf numFmtId="0" fontId="279" fillId="47" borderId="119" xfId="90" applyFont="1" applyFill="1" applyBorder="1" applyAlignment="1">
      <alignment horizontal="left"/>
    </xf>
    <xf numFmtId="0" fontId="277" fillId="47" borderId="119" xfId="90" applyFont="1" applyFill="1" applyBorder="1" applyAlignment="1">
      <alignment horizontal="left"/>
    </xf>
    <xf numFmtId="172" fontId="11" fillId="42" borderId="28" xfId="2" applyNumberFormat="1" applyFont="1" applyFill="1" applyBorder="1" applyAlignment="1">
      <alignment horizontal="right" vertical="center"/>
    </xf>
    <xf numFmtId="0" fontId="10" fillId="0" borderId="6" xfId="85" applyFont="1" applyBorder="1" applyAlignment="1">
      <alignment horizontal="center"/>
    </xf>
    <xf numFmtId="0" fontId="10" fillId="0" borderId="6" xfId="85" applyFont="1" applyBorder="1"/>
    <xf numFmtId="167" fontId="10" fillId="3" borderId="6" xfId="85" applyNumberFormat="1" applyFont="1" applyFill="1" applyBorder="1" applyProtection="1">
      <protection locked="0"/>
    </xf>
    <xf numFmtId="167" fontId="10" fillId="44" borderId="6" xfId="85" applyNumberFormat="1" applyFont="1" applyFill="1" applyBorder="1"/>
    <xf numFmtId="0" fontId="0" fillId="0" borderId="6" xfId="0" applyBorder="1" applyAlignment="1">
      <alignment horizontal="center" vertical="top"/>
    </xf>
    <xf numFmtId="0" fontId="10" fillId="3" borderId="6" xfId="2" applyNumberFormat="1" applyFont="1" applyFill="1" applyBorder="1" applyAlignment="1">
      <alignment horizontal="center" vertical="center"/>
    </xf>
    <xf numFmtId="0" fontId="27" fillId="0" borderId="0" xfId="0" applyFont="1" applyAlignment="1">
      <alignment horizontal="left"/>
    </xf>
    <xf numFmtId="0" fontId="26" fillId="0" borderId="10" xfId="0" applyFont="1" applyBorder="1"/>
    <xf numFmtId="0" fontId="8" fillId="0" borderId="10" xfId="0" applyFont="1" applyBorder="1" applyAlignment="1">
      <alignment horizontal="left" vertical="top"/>
    </xf>
    <xf numFmtId="0" fontId="0" fillId="0" borderId="10" xfId="0" applyBorder="1"/>
    <xf numFmtId="0" fontId="29" fillId="0" borderId="10" xfId="0" applyFont="1" applyBorder="1"/>
    <xf numFmtId="0" fontId="0" fillId="0" borderId="10" xfId="0" applyBorder="1" applyAlignment="1">
      <alignment horizontal="left" vertical="top"/>
    </xf>
    <xf numFmtId="0" fontId="11" fillId="0" borderId="0" xfId="0" applyFont="1" applyAlignment="1">
      <alignment horizontal="left" vertical="top"/>
    </xf>
    <xf numFmtId="0" fontId="0" fillId="0" borderId="21" xfId="0" applyBorder="1" applyAlignment="1">
      <alignment horizontal="left" indent="1"/>
    </xf>
    <xf numFmtId="0" fontId="0" fillId="0" borderId="21" xfId="0" applyBorder="1" applyAlignment="1" applyProtection="1">
      <alignment horizontal="center" vertical="center"/>
      <protection locked="0"/>
    </xf>
    <xf numFmtId="10" fontId="0" fillId="0" borderId="91" xfId="0" applyNumberFormat="1" applyBorder="1"/>
    <xf numFmtId="10" fontId="0" fillId="0" borderId="97" xfId="0" applyNumberFormat="1" applyBorder="1"/>
    <xf numFmtId="10" fontId="0" fillId="0" borderId="6" xfId="0" applyNumberFormat="1" applyBorder="1"/>
    <xf numFmtId="0" fontId="10" fillId="51" borderId="0" xfId="0" applyFont="1" applyFill="1" applyAlignment="1">
      <alignment horizontal="left" indent="1"/>
    </xf>
    <xf numFmtId="173" fontId="288" fillId="133" borderId="6" xfId="75" applyNumberFormat="1" applyFont="1" applyFill="1" applyBorder="1" applyAlignment="1">
      <alignment horizontal="center" vertical="center"/>
    </xf>
    <xf numFmtId="168" fontId="11" fillId="0" borderId="0" xfId="0" applyNumberFormat="1" applyFont="1" applyAlignment="1">
      <alignment vertical="center"/>
    </xf>
    <xf numFmtId="168" fontId="29" fillId="0" borderId="0" xfId="0" applyNumberFormat="1" applyFont="1" applyAlignment="1">
      <alignment horizontal="left" vertical="center" indent="1"/>
    </xf>
    <xf numFmtId="0" fontId="0" fillId="116" borderId="0" xfId="0" applyFill="1" applyAlignment="1">
      <alignment horizontal="left" vertical="top"/>
    </xf>
    <xf numFmtId="0" fontId="248" fillId="116" borderId="0" xfId="0" applyFont="1" applyFill="1" applyAlignment="1">
      <alignment vertical="top"/>
    </xf>
    <xf numFmtId="0" fontId="0" fillId="52" borderId="21" xfId="0" applyFill="1" applyBorder="1"/>
    <xf numFmtId="0" fontId="0" fillId="52" borderId="10" xfId="0" applyFill="1" applyBorder="1" applyAlignment="1">
      <alignment horizontal="center" wrapText="1"/>
    </xf>
    <xf numFmtId="0" fontId="0" fillId="52" borderId="0" xfId="0" applyFill="1"/>
    <xf numFmtId="0" fontId="0" fillId="52" borderId="11" xfId="0" applyFill="1" applyBorder="1"/>
    <xf numFmtId="3" fontId="0" fillId="52" borderId="11" xfId="0" applyNumberFormat="1" applyFill="1" applyBorder="1"/>
    <xf numFmtId="0" fontId="0" fillId="52" borderId="79" xfId="0" applyFill="1" applyBorder="1" applyAlignment="1">
      <alignment horizontal="center" wrapText="1"/>
    </xf>
    <xf numFmtId="0" fontId="0" fillId="52" borderId="119" xfId="0" applyFill="1" applyBorder="1"/>
    <xf numFmtId="3" fontId="0" fillId="52" borderId="80" xfId="0" applyNumberFormat="1" applyFill="1" applyBorder="1"/>
    <xf numFmtId="14" fontId="10" fillId="51" borderId="0" xfId="2" applyNumberFormat="1" applyFont="1" applyFill="1" applyBorder="1" applyAlignment="1">
      <alignment horizontal="center" vertical="center"/>
    </xf>
    <xf numFmtId="168" fontId="293" fillId="48" borderId="0" xfId="94" applyFont="1">
      <alignment vertical="center"/>
    </xf>
    <xf numFmtId="0" fontId="26" fillId="0" borderId="0" xfId="0" applyFont="1" applyAlignment="1">
      <alignment horizontal="left" vertical="top"/>
    </xf>
    <xf numFmtId="173" fontId="291" fillId="0" borderId="0" xfId="75" applyNumberFormat="1" applyFont="1" applyAlignment="1">
      <alignment horizontal="center" vertical="center"/>
    </xf>
    <xf numFmtId="173" fontId="291" fillId="0" borderId="0" xfId="75" applyNumberFormat="1" applyFont="1" applyAlignment="1">
      <alignment horizontal="center"/>
    </xf>
    <xf numFmtId="3" fontId="10" fillId="51" borderId="0" xfId="1" applyNumberFormat="1" applyFont="1" applyFill="1" applyBorder="1" applyAlignment="1" applyProtection="1">
      <alignment horizontal="left" indent="1"/>
    </xf>
    <xf numFmtId="168" fontId="10" fillId="0" borderId="0" xfId="0" applyNumberFormat="1" applyFont="1" applyAlignment="1">
      <alignment vertical="center"/>
    </xf>
    <xf numFmtId="0" fontId="8" fillId="0" borderId="0" xfId="0" applyFont="1" applyAlignment="1">
      <alignment vertical="top"/>
    </xf>
    <xf numFmtId="168" fontId="10" fillId="3" borderId="0" xfId="0" applyNumberFormat="1" applyFont="1" applyFill="1" applyAlignment="1">
      <alignment horizontal="left" vertical="center" indent="1"/>
    </xf>
    <xf numFmtId="0" fontId="11" fillId="0" borderId="0" xfId="0" applyFont="1" applyAlignment="1">
      <alignment horizontal="left" vertical="top" indent="1"/>
    </xf>
    <xf numFmtId="0" fontId="296" fillId="0" borderId="0" xfId="0" applyFont="1"/>
    <xf numFmtId="0" fontId="297" fillId="0" borderId="0" xfId="0" applyFont="1"/>
    <xf numFmtId="0" fontId="2" fillId="0" borderId="154" xfId="51695" applyBorder="1"/>
    <xf numFmtId="0" fontId="2" fillId="0" borderId="0" xfId="51695"/>
    <xf numFmtId="0" fontId="287" fillId="0" borderId="0" xfId="51695" applyFont="1" applyAlignment="1">
      <alignment horizontal="center" vertical="top" wrapText="1"/>
    </xf>
    <xf numFmtId="0" fontId="287" fillId="137" borderId="6" xfId="51695" applyFont="1" applyFill="1" applyBorder="1" applyAlignment="1">
      <alignment horizontal="center" vertical="top"/>
    </xf>
    <xf numFmtId="0" fontId="287" fillId="0" borderId="0" xfId="51695" applyFont="1" applyAlignment="1">
      <alignment horizontal="center" vertical="top"/>
    </xf>
    <xf numFmtId="0" fontId="287" fillId="0" borderId="0" xfId="51695" applyFont="1" applyAlignment="1">
      <alignment horizontal="center" vertical="center" wrapText="1"/>
    </xf>
    <xf numFmtId="0" fontId="289" fillId="0" borderId="0" xfId="51695" applyFont="1" applyAlignment="1">
      <alignment horizontal="center" vertical="center" wrapText="1"/>
    </xf>
    <xf numFmtId="0" fontId="295" fillId="0" borderId="0" xfId="51695" applyFont="1" applyAlignment="1">
      <alignment vertical="top"/>
    </xf>
    <xf numFmtId="0" fontId="2" fillId="0" borderId="0" xfId="51695" applyAlignment="1">
      <alignment horizontal="left" vertical="top"/>
    </xf>
    <xf numFmtId="9" fontId="288" fillId="133" borderId="6" xfId="51696" applyFont="1" applyFill="1" applyBorder="1" applyAlignment="1">
      <alignment horizontal="center"/>
    </xf>
    <xf numFmtId="9" fontId="288" fillId="0" borderId="0" xfId="51696" applyFont="1" applyFill="1" applyBorder="1" applyAlignment="1">
      <alignment horizontal="center"/>
    </xf>
    <xf numFmtId="9" fontId="0" fillId="0" borderId="0" xfId="51696" applyFont="1" applyFill="1" applyBorder="1" applyAlignment="1">
      <alignment horizontal="center"/>
    </xf>
    <xf numFmtId="0" fontId="2" fillId="0" borderId="0" xfId="51695" applyAlignment="1">
      <alignment horizontal="left"/>
    </xf>
    <xf numFmtId="0" fontId="290" fillId="0" borderId="10" xfId="51695" applyFont="1" applyBorder="1" applyAlignment="1">
      <alignment horizontal="left"/>
    </xf>
    <xf numFmtId="0" fontId="2" fillId="0" borderId="0" xfId="51695" applyAlignment="1">
      <alignment vertical="center"/>
    </xf>
    <xf numFmtId="173" fontId="2" fillId="0" borderId="0" xfId="51695" applyNumberFormat="1" applyAlignment="1">
      <alignment horizontal="center" vertical="center"/>
    </xf>
    <xf numFmtId="173" fontId="2" fillId="0" borderId="0" xfId="51695" applyNumberFormat="1" applyAlignment="1">
      <alignment horizontal="center"/>
    </xf>
    <xf numFmtId="0" fontId="289" fillId="0" borderId="10" xfId="51695" applyFont="1" applyBorder="1"/>
    <xf numFmtId="173" fontId="294" fillId="0" borderId="0" xfId="75" applyNumberFormat="1" applyFont="1" applyAlignment="1">
      <alignment horizontal="center" vertical="center"/>
    </xf>
    <xf numFmtId="173" fontId="290" fillId="0" borderId="0" xfId="51695" applyNumberFormat="1" applyFont="1" applyAlignment="1">
      <alignment horizontal="center"/>
    </xf>
    <xf numFmtId="0" fontId="290" fillId="0" borderId="11" xfId="51695" applyFont="1" applyBorder="1"/>
    <xf numFmtId="0" fontId="290" fillId="0" borderId="0" xfId="51695" applyFont="1" applyAlignment="1">
      <alignment horizontal="left" vertical="center"/>
    </xf>
    <xf numFmtId="0" fontId="290" fillId="0" borderId="0" xfId="51695" applyFont="1" applyAlignment="1">
      <alignment horizontal="left"/>
    </xf>
    <xf numFmtId="0" fontId="287" fillId="0" borderId="10" xfId="51695" applyFont="1" applyBorder="1" applyAlignment="1">
      <alignment horizontal="left"/>
    </xf>
    <xf numFmtId="0" fontId="290" fillId="0" borderId="11" xfId="51695" applyFont="1" applyBorder="1" applyAlignment="1">
      <alignment horizontal="left"/>
    </xf>
    <xf numFmtId="0" fontId="290" fillId="0" borderId="10" xfId="51695" applyFont="1" applyBorder="1" applyAlignment="1">
      <alignment vertical="center"/>
    </xf>
    <xf numFmtId="0" fontId="290" fillId="0" borderId="10" xfId="51695" quotePrefix="1" applyFont="1" applyBorder="1" applyAlignment="1">
      <alignment vertical="center"/>
    </xf>
    <xf numFmtId="173" fontId="288" fillId="0" borderId="21" xfId="75" applyNumberFormat="1" applyFont="1" applyBorder="1" applyAlignment="1">
      <alignment horizontal="center" vertical="center"/>
    </xf>
    <xf numFmtId="178" fontId="287" fillId="133" borderId="6" xfId="51695" applyNumberFormat="1" applyFont="1" applyFill="1" applyBorder="1" applyAlignment="1">
      <alignment horizontal="center"/>
    </xf>
    <xf numFmtId="178" fontId="287" fillId="0" borderId="0" xfId="51695" applyNumberFormat="1" applyFont="1" applyAlignment="1">
      <alignment horizontal="center"/>
    </xf>
    <xf numFmtId="0" fontId="298" fillId="52" borderId="114" xfId="51695" applyFont="1" applyFill="1" applyBorder="1" applyAlignment="1">
      <alignment vertical="center"/>
    </xf>
    <xf numFmtId="0" fontId="298" fillId="52" borderId="117" xfId="51695" applyFont="1" applyFill="1" applyBorder="1" applyAlignment="1">
      <alignment vertical="center"/>
    </xf>
    <xf numFmtId="173" fontId="298" fillId="52" borderId="6" xfId="51695" applyNumberFormat="1" applyFont="1" applyFill="1" applyBorder="1" applyAlignment="1">
      <alignment horizontal="center" vertical="center"/>
    </xf>
    <xf numFmtId="173" fontId="298" fillId="0" borderId="10" xfId="51695" applyNumberFormat="1" applyFont="1" applyBorder="1" applyAlignment="1">
      <alignment horizontal="center" vertical="center"/>
    </xf>
    <xf numFmtId="173" fontId="300" fillId="0" borderId="11" xfId="75" applyNumberFormat="1" applyFont="1" applyBorder="1" applyAlignment="1">
      <alignment horizontal="center" vertical="center"/>
    </xf>
    <xf numFmtId="0" fontId="2" fillId="0" borderId="0" xfId="51695" quotePrefix="1"/>
    <xf numFmtId="0" fontId="2" fillId="0" borderId="0" xfId="51695" applyAlignment="1">
      <alignment horizontal="center"/>
    </xf>
    <xf numFmtId="0" fontId="290" fillId="0" borderId="0" xfId="51695" applyFont="1" applyAlignment="1">
      <alignment horizontal="center"/>
    </xf>
    <xf numFmtId="0" fontId="0" fillId="138" borderId="0" xfId="0" applyFill="1" applyAlignment="1">
      <alignment horizontal="left" vertical="top" indent="1"/>
    </xf>
    <xf numFmtId="0" fontId="290" fillId="0" borderId="10" xfId="51695" quotePrefix="1" applyFont="1" applyBorder="1" applyAlignment="1">
      <alignment horizontal="left" vertical="center"/>
    </xf>
    <xf numFmtId="355" fontId="10" fillId="0" borderId="0" xfId="2" applyNumberFormat="1" applyFont="1" applyFill="1" applyBorder="1" applyAlignment="1">
      <alignment horizontal="center"/>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89" fillId="0" borderId="10" xfId="51695" applyFont="1" applyBorder="1" applyAlignment="1">
      <alignment horizontal="left"/>
    </xf>
    <xf numFmtId="0" fontId="289" fillId="0" borderId="11" xfId="51695" applyFont="1" applyBorder="1" applyAlignment="1">
      <alignment horizontal="left"/>
    </xf>
    <xf numFmtId="3" fontId="10" fillId="51" borderId="0" xfId="77" applyNumberFormat="1" applyFont="1" applyFill="1" applyBorder="1" applyAlignment="1" applyProtection="1">
      <alignment horizontal="left" indent="1"/>
    </xf>
    <xf numFmtId="14" fontId="294" fillId="36" borderId="6" xfId="75" applyNumberFormat="1" applyFont="1" applyFill="1" applyBorder="1" applyAlignment="1">
      <alignment horizontal="center" vertical="center"/>
    </xf>
    <xf numFmtId="0" fontId="289" fillId="0" borderId="114" xfId="51695" applyFont="1" applyBorder="1" applyAlignment="1">
      <alignment horizontal="left" vertical="center"/>
    </xf>
    <xf numFmtId="0" fontId="290" fillId="0" borderId="117" xfId="51695" applyFont="1" applyBorder="1" applyAlignment="1">
      <alignment horizontal="left" vertical="center"/>
    </xf>
    <xf numFmtId="173" fontId="287" fillId="52" borderId="6" xfId="51695" applyNumberFormat="1" applyFont="1" applyFill="1" applyBorder="1" applyAlignment="1">
      <alignment horizontal="center" vertical="center"/>
    </xf>
    <xf numFmtId="0" fontId="289" fillId="0" borderId="10" xfId="51695" applyFont="1" applyBorder="1" applyAlignment="1">
      <alignment horizontal="left" vertical="center"/>
    </xf>
    <xf numFmtId="173" fontId="287" fillId="0" borderId="28" xfId="51695" applyNumberFormat="1" applyFont="1" applyBorder="1" applyAlignment="1">
      <alignment horizontal="center" vertical="center"/>
    </xf>
    <xf numFmtId="0" fontId="287" fillId="0" borderId="114" xfId="51695" applyFont="1" applyBorder="1" applyAlignment="1">
      <alignment horizontal="left" vertical="center"/>
    </xf>
    <xf numFmtId="0" fontId="289" fillId="0" borderId="0" xfId="51695" applyFont="1" applyAlignment="1">
      <alignment horizontal="left" vertical="center"/>
    </xf>
    <xf numFmtId="173" fontId="294" fillId="52" borderId="6" xfId="75" applyNumberFormat="1" applyFont="1" applyFill="1" applyBorder="1" applyAlignment="1">
      <alignment horizontal="center" vertical="center"/>
    </xf>
    <xf numFmtId="0" fontId="287" fillId="52" borderId="114" xfId="51695" applyFont="1" applyFill="1" applyBorder="1" applyAlignment="1">
      <alignment vertical="center"/>
    </xf>
    <xf numFmtId="0" fontId="290" fillId="0" borderId="79" xfId="51695" applyFont="1" applyBorder="1" applyAlignment="1">
      <alignment horizontal="left" vertical="center"/>
    </xf>
    <xf numFmtId="0" fontId="290" fillId="0" borderId="80" xfId="51695" applyFont="1" applyBorder="1" applyAlignment="1">
      <alignment horizontal="left" vertical="center"/>
    </xf>
    <xf numFmtId="0" fontId="287" fillId="52" borderId="114" xfId="51695" applyFont="1" applyFill="1" applyBorder="1" applyAlignment="1">
      <alignment horizontal="left" vertical="center"/>
    </xf>
    <xf numFmtId="0" fontId="299" fillId="0" borderId="0" xfId="51695" applyFont="1" applyAlignment="1">
      <alignment vertical="center"/>
    </xf>
    <xf numFmtId="353" fontId="2" fillId="0" borderId="0" xfId="51695" applyNumberFormat="1" applyAlignment="1">
      <alignment vertical="center"/>
    </xf>
    <xf numFmtId="0" fontId="2" fillId="0" borderId="0" xfId="51695" applyAlignment="1">
      <alignment vertical="center" wrapText="1"/>
    </xf>
    <xf numFmtId="0" fontId="1" fillId="0" borderId="0" xfId="51695" applyFont="1" applyAlignment="1">
      <alignment vertical="center"/>
    </xf>
    <xf numFmtId="173" fontId="301" fillId="0" borderId="0" xfId="75" applyNumberFormat="1" applyFont="1" applyAlignment="1">
      <alignment horizontal="center" vertical="center"/>
    </xf>
    <xf numFmtId="0" fontId="2" fillId="0" borderId="6" xfId="51695" applyBorder="1" applyAlignment="1">
      <alignment vertical="center" wrapText="1"/>
    </xf>
    <xf numFmtId="173" fontId="287" fillId="0" borderId="0" xfId="51695" applyNumberFormat="1" applyFont="1" applyAlignment="1">
      <alignment horizontal="center" vertical="center"/>
    </xf>
    <xf numFmtId="353" fontId="2" fillId="0" borderId="0" xfId="51695" applyNumberFormat="1"/>
    <xf numFmtId="0" fontId="2" fillId="0" borderId="0" xfId="51695" applyAlignment="1">
      <alignment wrapText="1"/>
    </xf>
    <xf numFmtId="0" fontId="2" fillId="0" borderId="10" xfId="51695" applyBorder="1"/>
    <xf numFmtId="0" fontId="2" fillId="0" borderId="11" xfId="51695" applyBorder="1"/>
    <xf numFmtId="0" fontId="1" fillId="0" borderId="6" xfId="51695" applyFont="1" applyBorder="1" applyAlignment="1">
      <alignment vertical="center" wrapText="1"/>
    </xf>
    <xf numFmtId="0" fontId="2" fillId="0" borderId="11" xfId="51695" applyBorder="1" applyAlignment="1">
      <alignment vertical="center"/>
    </xf>
    <xf numFmtId="173" fontId="2" fillId="0" borderId="11" xfId="51695" applyNumberFormat="1" applyBorder="1" applyAlignment="1">
      <alignment horizontal="center" vertical="center"/>
    </xf>
    <xf numFmtId="173" fontId="2" fillId="0" borderId="154" xfId="51695" applyNumberFormat="1" applyBorder="1" applyAlignment="1">
      <alignment horizontal="center" vertical="center"/>
    </xf>
    <xf numFmtId="173" fontId="2" fillId="0" borderId="119" xfId="51695" applyNumberFormat="1" applyBorder="1" applyAlignment="1">
      <alignment horizontal="center"/>
    </xf>
    <xf numFmtId="173" fontId="301" fillId="0" borderId="11" xfId="75" applyNumberFormat="1" applyFont="1" applyBorder="1" applyAlignment="1">
      <alignment horizontal="center" vertical="center"/>
    </xf>
    <xf numFmtId="0" fontId="2" fillId="0" borderId="0" xfId="51695" applyAlignment="1">
      <alignment horizontal="left" vertical="center"/>
    </xf>
    <xf numFmtId="173" fontId="2" fillId="0" borderId="21" xfId="51695" applyNumberFormat="1" applyBorder="1" applyAlignment="1">
      <alignment horizontal="center" vertical="center"/>
    </xf>
    <xf numFmtId="0" fontId="2" fillId="0" borderId="10" xfId="51695" applyBorder="1" applyAlignment="1">
      <alignment horizontal="left" vertical="center"/>
    </xf>
    <xf numFmtId="0" fontId="2" fillId="0" borderId="11" xfId="51695" applyBorder="1" applyAlignment="1">
      <alignment horizontal="left" vertical="center"/>
    </xf>
    <xf numFmtId="0" fontId="2" fillId="0" borderId="11" xfId="51695" applyBorder="1" applyAlignment="1">
      <alignment horizontal="left"/>
    </xf>
    <xf numFmtId="0" fontId="2" fillId="0" borderId="119" xfId="51695" applyBorder="1" applyAlignment="1">
      <alignment wrapText="1"/>
    </xf>
    <xf numFmtId="0" fontId="2" fillId="52" borderId="117" xfId="51695" applyFill="1" applyBorder="1" applyAlignment="1">
      <alignment vertical="center"/>
    </xf>
    <xf numFmtId="173" fontId="2" fillId="0" borderId="10" xfId="51695" applyNumberFormat="1" applyBorder="1" applyAlignment="1">
      <alignment horizontal="center" vertical="center"/>
    </xf>
    <xf numFmtId="0" fontId="2" fillId="0" borderId="79" xfId="51695" applyBorder="1" applyAlignment="1">
      <alignment horizontal="left"/>
    </xf>
    <xf numFmtId="0" fontId="2" fillId="0" borderId="80" xfId="51695" applyBorder="1" applyAlignment="1">
      <alignment horizontal="left"/>
    </xf>
    <xf numFmtId="0" fontId="2" fillId="52" borderId="117" xfId="51695" applyFill="1" applyBorder="1" applyAlignment="1">
      <alignment horizontal="left" vertical="center"/>
    </xf>
    <xf numFmtId="173" fontId="1" fillId="52" borderId="6" xfId="51695" applyNumberFormat="1" applyFont="1" applyFill="1" applyBorder="1" applyAlignment="1">
      <alignment horizontal="center" vertical="center"/>
    </xf>
    <xf numFmtId="0" fontId="287" fillId="52" borderId="6" xfId="51695" applyFont="1" applyFill="1" applyBorder="1" applyAlignment="1">
      <alignment horizontal="center" vertical="top"/>
    </xf>
    <xf numFmtId="173" fontId="288" fillId="52" borderId="6" xfId="75" applyNumberFormat="1" applyFont="1" applyFill="1" applyBorder="1" applyAlignment="1">
      <alignment horizontal="center" vertical="center"/>
    </xf>
    <xf numFmtId="0" fontId="277" fillId="47" borderId="155" xfId="90" applyFont="1" applyFill="1" applyBorder="1" applyAlignment="1">
      <alignment horizontal="left"/>
    </xf>
    <xf numFmtId="0" fontId="277" fillId="47" borderId="154" xfId="90" applyFont="1" applyFill="1" applyBorder="1" applyAlignment="1">
      <alignment horizontal="left"/>
    </xf>
    <xf numFmtId="0" fontId="277" fillId="47" borderId="100" xfId="90" applyFont="1" applyFill="1" applyBorder="1" applyAlignment="1">
      <alignment horizontal="left"/>
    </xf>
    <xf numFmtId="0" fontId="287" fillId="137" borderId="155" xfId="51695" applyFont="1" applyFill="1" applyBorder="1" applyAlignment="1">
      <alignment horizontal="center" vertical="center" wrapText="1"/>
    </xf>
    <xf numFmtId="2" fontId="288" fillId="0" borderId="21" xfId="75" applyNumberFormat="1" applyFont="1" applyBorder="1" applyAlignment="1">
      <alignment horizontal="center"/>
    </xf>
    <xf numFmtId="0" fontId="286" fillId="116" borderId="0" xfId="0" applyFont="1" applyFill="1" applyAlignment="1">
      <alignment horizontal="left" vertical="top"/>
    </xf>
    <xf numFmtId="0" fontId="0" fillId="116" borderId="0" xfId="0" applyFill="1" applyAlignment="1">
      <alignment horizontal="left" vertical="top" indent="1"/>
    </xf>
    <xf numFmtId="0" fontId="277" fillId="47" borderId="156" xfId="90" applyFont="1" applyFill="1" applyBorder="1" applyAlignment="1">
      <alignment horizontal="left"/>
    </xf>
    <xf numFmtId="0" fontId="276" fillId="47" borderId="157" xfId="0" applyFont="1" applyFill="1" applyBorder="1" applyAlignment="1">
      <alignment wrapText="1"/>
    </xf>
    <xf numFmtId="0" fontId="0" fillId="52" borderId="156" xfId="0" applyFill="1" applyBorder="1" applyAlignment="1">
      <alignment horizontal="center" wrapText="1"/>
    </xf>
    <xf numFmtId="0" fontId="0" fillId="52" borderId="157" xfId="0" applyFill="1" applyBorder="1"/>
    <xf numFmtId="0" fontId="31" fillId="47" borderId="157" xfId="75" applyFont="1" applyFill="1" applyBorder="1"/>
    <xf numFmtId="0" fontId="0" fillId="47" borderId="157" xfId="0" applyFill="1" applyBorder="1"/>
    <xf numFmtId="0" fontId="29" fillId="0" borderId="156" xfId="0" applyFont="1" applyBorder="1"/>
    <xf numFmtId="0" fontId="32" fillId="47" borderId="157" xfId="75" applyFont="1" applyFill="1" applyBorder="1"/>
    <xf numFmtId="0" fontId="279" fillId="47" borderId="156" xfId="90" applyFont="1" applyFill="1" applyBorder="1" applyAlignment="1">
      <alignment horizontal="left"/>
    </xf>
    <xf numFmtId="0" fontId="287" fillId="137" borderId="157" xfId="51695" applyFont="1" applyFill="1" applyBorder="1" applyAlignment="1">
      <alignment horizontal="center" vertical="top" wrapText="1"/>
    </xf>
    <xf numFmtId="0" fontId="290" fillId="0" borderId="156" xfId="51695" applyFont="1" applyBorder="1" applyAlignment="1">
      <alignment horizontal="left"/>
    </xf>
    <xf numFmtId="0" fontId="290" fillId="0" borderId="157" xfId="51695" applyFont="1" applyBorder="1" applyAlignment="1">
      <alignment horizontal="left" vertical="center"/>
    </xf>
    <xf numFmtId="0" fontId="1" fillId="0" borderId="0" xfId="51695" applyFont="1"/>
    <xf numFmtId="0" fontId="1" fillId="42" borderId="0" xfId="51695" applyFont="1" applyFill="1" applyAlignment="1">
      <alignment vertical="center"/>
    </xf>
    <xf numFmtId="0" fontId="287" fillId="0" borderId="156" xfId="51695" applyFont="1" applyBorder="1" applyAlignment="1">
      <alignment horizontal="left" vertical="center"/>
    </xf>
    <xf numFmtId="0" fontId="287" fillId="0" borderId="156" xfId="51695" applyFont="1" applyBorder="1" applyAlignment="1">
      <alignment horizontal="left"/>
    </xf>
    <xf numFmtId="0" fontId="290" fillId="0" borderId="157" xfId="51695" applyFont="1" applyBorder="1" applyAlignment="1">
      <alignment horizontal="left"/>
    </xf>
    <xf numFmtId="0" fontId="2" fillId="0" borderId="157" xfId="51695" applyBorder="1" applyAlignment="1">
      <alignment horizontal="left" vertical="center"/>
    </xf>
    <xf numFmtId="1" fontId="0" fillId="51" borderId="0" xfId="0" applyNumberFormat="1" applyFill="1" applyBorder="1" applyAlignment="1">
      <alignment horizontal="center"/>
    </xf>
    <xf numFmtId="1" fontId="8" fillId="2" borderId="6" xfId="0" applyNumberFormat="1" applyFont="1" applyFill="1" applyBorder="1" applyAlignment="1">
      <alignment horizontal="center" vertical="center" wrapText="1"/>
    </xf>
    <xf numFmtId="0" fontId="10" fillId="0" borderId="6" xfId="85" applyFont="1" applyBorder="1" applyAlignment="1">
      <alignment horizontal="center" vertical="center"/>
    </xf>
    <xf numFmtId="0" fontId="10" fillId="42" borderId="6" xfId="85" applyFont="1" applyFill="1" applyBorder="1" applyAlignment="1">
      <alignment horizontal="center"/>
    </xf>
    <xf numFmtId="0" fontId="10" fillId="42" borderId="6" xfId="85" applyFont="1" applyFill="1" applyBorder="1" applyAlignment="1">
      <alignment horizontal="center" wrapText="1"/>
    </xf>
    <xf numFmtId="175" fontId="10" fillId="42" borderId="6" xfId="85" applyNumberFormat="1" applyFont="1" applyFill="1" applyBorder="1" applyAlignment="1">
      <alignment horizontal="center"/>
    </xf>
    <xf numFmtId="348" fontId="10" fillId="0" borderId="6" xfId="48235" applyNumberFormat="1" applyFont="1" applyBorder="1" applyAlignment="1">
      <alignment horizontal="center"/>
    </xf>
    <xf numFmtId="175" fontId="10" fillId="44" borderId="6" xfId="85" applyNumberFormat="1" applyFont="1" applyFill="1" applyBorder="1" applyAlignment="1">
      <alignment horizontal="center"/>
    </xf>
    <xf numFmtId="0" fontId="10" fillId="44" borderId="6" xfId="85" applyFont="1" applyFill="1" applyBorder="1"/>
    <xf numFmtId="0" fontId="10" fillId="44" borderId="6" xfId="85" applyFont="1" applyFill="1" applyBorder="1" applyAlignment="1">
      <alignment horizontal="left" indent="1"/>
    </xf>
    <xf numFmtId="0" fontId="10" fillId="44" borderId="6" xfId="85" applyFont="1" applyFill="1" applyBorder="1" applyAlignment="1">
      <alignment horizontal="right" indent="1"/>
    </xf>
    <xf numFmtId="10" fontId="10" fillId="44" borderId="6" xfId="77" applyNumberFormat="1" applyFont="1" applyFill="1" applyBorder="1" applyAlignment="1" applyProtection="1">
      <alignment horizontal="right" indent="1"/>
    </xf>
    <xf numFmtId="0" fontId="10" fillId="0" borderId="6" xfId="85" quotePrefix="1" applyFont="1" applyBorder="1" applyAlignment="1">
      <alignment horizontal="center"/>
    </xf>
    <xf numFmtId="0" fontId="10" fillId="117" borderId="6" xfId="85" applyFont="1" applyFill="1" applyBorder="1" applyAlignment="1">
      <alignment horizontal="center"/>
    </xf>
    <xf numFmtId="175" fontId="10" fillId="52" borderId="6" xfId="85" applyNumberFormat="1" applyFont="1" applyFill="1" applyBorder="1" applyAlignment="1">
      <alignment horizontal="center"/>
    </xf>
    <xf numFmtId="0" fontId="10" fillId="52" borderId="6" xfId="85" applyFont="1" applyFill="1" applyBorder="1"/>
    <xf numFmtId="0" fontId="10" fillId="52" borderId="6" xfId="85" applyFont="1" applyFill="1" applyBorder="1" applyAlignment="1">
      <alignment horizontal="left" indent="1"/>
    </xf>
    <xf numFmtId="0" fontId="10" fillId="52" borderId="6" xfId="85" applyFont="1" applyFill="1" applyBorder="1" applyAlignment="1">
      <alignment horizontal="right" indent="1"/>
    </xf>
    <xf numFmtId="10" fontId="10" fillId="52" borderId="6" xfId="77" applyNumberFormat="1" applyFont="1" applyFill="1" applyBorder="1" applyAlignment="1" applyProtection="1">
      <alignment horizontal="right" indent="1"/>
    </xf>
    <xf numFmtId="175" fontId="10" fillId="42" borderId="6" xfId="85" applyNumberFormat="1" applyFont="1" applyFill="1" applyBorder="1" applyAlignment="1">
      <alignment horizontal="center" wrapText="1"/>
    </xf>
    <xf numFmtId="175" fontId="10" fillId="44" borderId="6" xfId="85" applyNumberFormat="1" applyFont="1" applyFill="1" applyBorder="1"/>
    <xf numFmtId="175" fontId="10" fillId="44" borderId="6" xfId="85" applyNumberFormat="1" applyFont="1" applyFill="1" applyBorder="1" applyAlignment="1">
      <alignment horizontal="left" indent="1"/>
    </xf>
    <xf numFmtId="175" fontId="10" fillId="44" borderId="6" xfId="85" applyNumberFormat="1" applyFont="1" applyFill="1" applyBorder="1" applyAlignment="1">
      <alignment horizontal="right" indent="1"/>
    </xf>
    <xf numFmtId="175" fontId="10" fillId="52" borderId="6" xfId="85" applyNumberFormat="1" applyFont="1" applyFill="1" applyBorder="1"/>
    <xf numFmtId="175" fontId="10" fillId="52" borderId="6" xfId="85" applyNumberFormat="1" applyFont="1" applyFill="1" applyBorder="1" applyAlignment="1">
      <alignment horizontal="left" indent="1"/>
    </xf>
    <xf numFmtId="175" fontId="10" fillId="52" borderId="6" xfId="85" applyNumberFormat="1" applyFont="1" applyFill="1" applyBorder="1" applyAlignment="1">
      <alignment horizontal="right" indent="1"/>
    </xf>
    <xf numFmtId="175" fontId="10" fillId="44" borderId="6" xfId="85" applyNumberFormat="1" applyFont="1" applyFill="1" applyBorder="1" applyAlignment="1">
      <alignment horizontal="right"/>
    </xf>
    <xf numFmtId="348" fontId="10" fillId="0" borderId="6" xfId="84" applyNumberFormat="1" applyFont="1" applyBorder="1" applyAlignment="1">
      <alignment horizontal="center"/>
    </xf>
    <xf numFmtId="0" fontId="10" fillId="0" borderId="6" xfId="85" applyFont="1" applyBorder="1" applyAlignment="1">
      <alignment horizontal="center" wrapText="1"/>
    </xf>
    <xf numFmtId="0" fontId="10" fillId="0" borderId="6" xfId="85" quotePrefix="1" applyFont="1" applyBorder="1" applyAlignment="1">
      <alignment horizontal="center" vertical="top"/>
    </xf>
    <xf numFmtId="172" fontId="7" fillId="3" borderId="6" xfId="95" applyNumberFormat="1" applyFill="1" applyBorder="1" applyAlignment="1" applyProtection="1">
      <alignment vertical="center"/>
      <protection locked="0"/>
    </xf>
    <xf numFmtId="0" fontId="11" fillId="0" borderId="6" xfId="84" applyFont="1" applyBorder="1" applyAlignment="1">
      <alignment horizontal="left"/>
    </xf>
    <xf numFmtId="0" fontId="10" fillId="0" borderId="6" xfId="84" applyFont="1" applyBorder="1" applyAlignment="1">
      <alignment horizontal="center" vertical="top"/>
    </xf>
    <xf numFmtId="0" fontId="10" fillId="0" borderId="6" xfId="85" applyFont="1" applyBorder="1" applyAlignment="1">
      <alignment horizontal="center" vertical="top"/>
    </xf>
    <xf numFmtId="0" fontId="10" fillId="0" borderId="6" xfId="85" applyFont="1" applyBorder="1" applyAlignment="1">
      <alignment horizontal="left" indent="1"/>
    </xf>
    <xf numFmtId="348" fontId="10" fillId="0" borderId="6" xfId="48235" applyNumberFormat="1" applyFont="1" applyBorder="1" applyAlignment="1">
      <alignment horizontal="left" indent="1"/>
    </xf>
    <xf numFmtId="0" fontId="10" fillId="0" borderId="6" xfId="84" applyFont="1" applyBorder="1" applyAlignment="1">
      <alignment horizontal="left" indent="1"/>
    </xf>
    <xf numFmtId="14" fontId="10" fillId="51" borderId="6" xfId="85" applyNumberFormat="1" applyFont="1" applyFill="1" applyBorder="1" applyAlignment="1" applyProtection="1">
      <alignment horizontal="center"/>
      <protection locked="0"/>
    </xf>
    <xf numFmtId="9" fontId="7" fillId="43" borderId="6" xfId="77" applyFill="1" applyBorder="1" applyAlignment="1" applyProtection="1">
      <alignment vertical="center"/>
    </xf>
    <xf numFmtId="172" fontId="10" fillId="44" borderId="6" xfId="85" applyNumberFormat="1" applyFont="1" applyFill="1" applyBorder="1"/>
    <xf numFmtId="9" fontId="7" fillId="3" borderId="6" xfId="77" applyFill="1" applyBorder="1" applyAlignment="1" applyProtection="1">
      <alignment vertical="center"/>
      <protection locked="0"/>
    </xf>
    <xf numFmtId="0" fontId="10" fillId="0" borderId="6" xfId="85" applyFont="1" applyBorder="1" applyAlignment="1">
      <alignment vertical="top"/>
    </xf>
    <xf numFmtId="0" fontId="10" fillId="0" borderId="6" xfId="85" applyFont="1" applyBorder="1" applyAlignment="1">
      <alignment vertical="top" wrapText="1"/>
    </xf>
    <xf numFmtId="0" fontId="10" fillId="0" borderId="6" xfId="85" applyFont="1" applyBorder="1" applyAlignment="1">
      <alignment horizontal="center" vertical="top" wrapText="1"/>
    </xf>
    <xf numFmtId="14" fontId="10" fillId="3" borderId="6" xfId="85" applyNumberFormat="1" applyFont="1" applyFill="1" applyBorder="1" applyAlignment="1" applyProtection="1">
      <alignment horizontal="center"/>
      <protection locked="0"/>
    </xf>
    <xf numFmtId="0" fontId="10" fillId="3" borderId="6" xfId="85" applyFont="1" applyFill="1" applyBorder="1" applyProtection="1">
      <protection locked="0"/>
    </xf>
    <xf numFmtId="0" fontId="10" fillId="3" borderId="6" xfId="85" applyFont="1" applyFill="1" applyBorder="1" applyAlignment="1" applyProtection="1">
      <alignment horizontal="center" vertical="center"/>
      <protection locked="0"/>
    </xf>
    <xf numFmtId="170" fontId="10" fillId="3" borderId="6" xfId="77" applyNumberFormat="1" applyFont="1" applyFill="1" applyBorder="1" applyAlignment="1" applyProtection="1">
      <alignment horizontal="center"/>
      <protection locked="0"/>
    </xf>
    <xf numFmtId="173" fontId="10" fillId="3" borderId="6" xfId="85" applyNumberFormat="1" applyFont="1" applyFill="1" applyBorder="1" applyProtection="1">
      <protection locked="0"/>
    </xf>
    <xf numFmtId="170" fontId="10" fillId="3" borderId="6" xfId="77" applyNumberFormat="1" applyFont="1" applyFill="1" applyBorder="1" applyAlignment="1" applyProtection="1">
      <protection locked="0"/>
    </xf>
    <xf numFmtId="170" fontId="10" fillId="3" borderId="6" xfId="83" applyNumberFormat="1" applyFont="1" applyFill="1" applyBorder="1" applyAlignment="1" applyProtection="1">
      <alignment horizontal="center"/>
      <protection locked="0"/>
    </xf>
    <xf numFmtId="173" fontId="10" fillId="3" borderId="6" xfId="83" applyNumberFormat="1" applyFont="1" applyFill="1" applyBorder="1" applyProtection="1">
      <protection locked="0"/>
    </xf>
    <xf numFmtId="2" fontId="10" fillId="3" borderId="6" xfId="83" applyNumberFormat="1" applyFont="1" applyFill="1" applyBorder="1" applyAlignment="1" applyProtection="1">
      <alignment horizontal="left" indent="1"/>
      <protection locked="0"/>
    </xf>
    <xf numFmtId="170" fontId="10" fillId="3" borderId="6" xfId="83" applyNumberFormat="1" applyFont="1" applyFill="1" applyBorder="1" applyAlignment="1" applyProtection="1">
      <alignment horizontal="left" indent="1"/>
      <protection locked="0"/>
    </xf>
    <xf numFmtId="0" fontId="10" fillId="0" borderId="117" xfId="85" applyFont="1" applyBorder="1" applyAlignment="1">
      <alignment horizontal="center"/>
    </xf>
    <xf numFmtId="173" fontId="10" fillId="3" borderId="6" xfId="85" applyNumberFormat="1" applyFont="1" applyFill="1" applyBorder="1" applyAlignment="1" applyProtection="1">
      <alignment horizontal="center"/>
      <protection locked="0"/>
    </xf>
    <xf numFmtId="2" fontId="10" fillId="3" borderId="6" xfId="85" applyNumberFormat="1" applyFont="1" applyFill="1" applyBorder="1" applyAlignment="1" applyProtection="1">
      <alignment horizontal="center"/>
      <protection locked="0"/>
    </xf>
    <xf numFmtId="178" fontId="10" fillId="3" borderId="6" xfId="85" applyNumberFormat="1" applyFont="1" applyFill="1" applyBorder="1" applyProtection="1">
      <protection locked="0"/>
    </xf>
    <xf numFmtId="348" fontId="10" fillId="0" borderId="6" xfId="84" applyNumberFormat="1" applyFont="1" applyBorder="1" applyAlignment="1">
      <alignment horizontal="left" indent="1"/>
    </xf>
    <xf numFmtId="0" fontId="10" fillId="3" borderId="6" xfId="85" applyFont="1" applyFill="1" applyBorder="1" applyAlignment="1" applyProtection="1">
      <alignment horizontal="left" indent="1"/>
      <protection locked="0"/>
    </xf>
    <xf numFmtId="0" fontId="10" fillId="3" borderId="6" xfId="83" applyNumberFormat="1" applyFont="1" applyFill="1" applyBorder="1" applyProtection="1">
      <protection locked="0"/>
    </xf>
    <xf numFmtId="170" fontId="10" fillId="3" borderId="6" xfId="83" applyNumberFormat="1" applyFont="1" applyFill="1" applyBorder="1" applyProtection="1">
      <protection locked="0"/>
    </xf>
    <xf numFmtId="164" fontId="10" fillId="3" borderId="6" xfId="1" applyFont="1" applyFill="1" applyBorder="1" applyProtection="1">
      <protection locked="0"/>
    </xf>
    <xf numFmtId="9" fontId="7" fillId="3" borderId="6" xfId="95" applyNumberFormat="1" applyFill="1" applyBorder="1" applyAlignment="1" applyProtection="1">
      <alignment vertical="center"/>
      <protection locked="0"/>
    </xf>
    <xf numFmtId="0" fontId="10" fillId="0" borderId="6" xfId="85" applyFont="1" applyBorder="1" applyAlignment="1" applyProtection="1">
      <alignment horizontal="center" wrapText="1"/>
      <protection locked="0"/>
    </xf>
    <xf numFmtId="252" fontId="10" fillId="3" borderId="6" xfId="83" applyNumberFormat="1" applyFont="1" applyFill="1" applyBorder="1" applyAlignment="1" applyProtection="1">
      <alignment horizontal="right" indent="1"/>
      <protection locked="0"/>
    </xf>
    <xf numFmtId="0" fontId="10" fillId="0" borderId="6" xfId="84" applyFont="1" applyBorder="1" applyAlignment="1">
      <alignment horizontal="left"/>
    </xf>
    <xf numFmtId="0" fontId="10" fillId="0" borderId="6" xfId="85" applyFont="1" applyBorder="1" applyAlignment="1">
      <alignment horizontal="left" vertical="top"/>
    </xf>
    <xf numFmtId="0" fontId="10" fillId="0" borderId="6" xfId="85" applyFont="1" applyBorder="1" applyAlignment="1" applyProtection="1">
      <alignment horizontal="center" vertical="top"/>
      <protection locked="0"/>
    </xf>
    <xf numFmtId="0" fontId="10" fillId="0" borderId="6" xfId="85" applyFont="1" applyBorder="1" applyAlignment="1" applyProtection="1">
      <alignment horizontal="center" vertical="top" wrapText="1"/>
      <protection locked="0"/>
    </xf>
    <xf numFmtId="173" fontId="10" fillId="3" borderId="6" xfId="85" applyNumberFormat="1" applyFont="1" applyFill="1" applyBorder="1" applyAlignment="1" applyProtection="1">
      <alignment horizontal="left" indent="1"/>
      <protection locked="0"/>
    </xf>
    <xf numFmtId="0" fontId="10" fillId="3" borderId="6" xfId="83" applyNumberFormat="1" applyFont="1" applyFill="1" applyBorder="1" applyAlignment="1" applyProtection="1">
      <alignment horizontal="left" indent="1"/>
      <protection locked="0"/>
    </xf>
    <xf numFmtId="170" fontId="10" fillId="3" borderId="6" xfId="83" applyNumberFormat="1" applyFont="1" applyFill="1" applyBorder="1" applyAlignment="1" applyProtection="1">
      <alignment horizontal="right" indent="1"/>
      <protection locked="0"/>
    </xf>
    <xf numFmtId="0" fontId="10" fillId="42" borderId="6" xfId="85" applyFont="1" applyFill="1" applyBorder="1" applyAlignment="1">
      <alignment horizontal="left" indent="1"/>
    </xf>
    <xf numFmtId="172" fontId="0" fillId="3" borderId="6" xfId="0" applyNumberFormat="1" applyFill="1" applyBorder="1" applyAlignment="1">
      <alignment horizontal="right" vertical="center"/>
    </xf>
    <xf numFmtId="0" fontId="0" fillId="0" borderId="76" xfId="0" applyBorder="1" applyAlignment="1">
      <alignment horizontal="left" vertical="center" wrapText="1"/>
    </xf>
    <xf numFmtId="175" fontId="10" fillId="44" borderId="6" xfId="85" applyNumberFormat="1" applyFont="1" applyFill="1" applyBorder="1" applyAlignment="1">
      <alignment horizontal="center"/>
    </xf>
    <xf numFmtId="0" fontId="10" fillId="0" borderId="0" xfId="84" applyFont="1" applyAlignment="1"/>
    <xf numFmtId="0" fontId="10" fillId="0" borderId="89" xfId="48235" applyFont="1" applyBorder="1" applyAlignment="1">
      <alignment horizontal="left" indent="1"/>
    </xf>
    <xf numFmtId="2" fontId="10" fillId="3" borderId="6" xfId="77" applyNumberFormat="1" applyFont="1" applyFill="1" applyBorder="1" applyAlignment="1" applyProtection="1">
      <protection locked="0"/>
    </xf>
    <xf numFmtId="0" fontId="10" fillId="0" borderId="62" xfId="85" applyFont="1" applyBorder="1" applyAlignment="1">
      <alignment horizontal="left" indent="1"/>
    </xf>
    <xf numFmtId="0" fontId="10" fillId="3" borderId="6" xfId="83" applyNumberFormat="1" applyFont="1" applyFill="1" applyBorder="1" applyAlignment="1" applyProtection="1">
      <alignment horizontal="left"/>
      <protection locked="0"/>
    </xf>
    <xf numFmtId="170" fontId="10" fillId="3" borderId="6" xfId="83" applyNumberFormat="1" applyFont="1" applyFill="1" applyBorder="1" applyAlignment="1" applyProtection="1">
      <alignment horizontal="left"/>
      <protection locked="0"/>
    </xf>
    <xf numFmtId="0" fontId="10" fillId="0" borderId="89" xfId="85" applyFont="1" applyBorder="1" applyAlignment="1">
      <alignment horizontal="left" indent="1"/>
    </xf>
    <xf numFmtId="356" fontId="7" fillId="3" borderId="6" xfId="95" applyNumberFormat="1" applyFill="1" applyBorder="1" applyAlignment="1" applyProtection="1">
      <alignment vertical="center"/>
      <protection locked="0"/>
    </xf>
    <xf numFmtId="356" fontId="7" fillId="43" borderId="6" xfId="48236" applyNumberFormat="1" applyBorder="1">
      <alignment vertical="center"/>
    </xf>
    <xf numFmtId="356" fontId="10" fillId="0" borderId="0" xfId="85" applyNumberFormat="1" applyFont="1"/>
    <xf numFmtId="356" fontId="10" fillId="0" borderId="98" xfId="85" applyNumberFormat="1" applyFont="1" applyBorder="1"/>
    <xf numFmtId="356" fontId="10" fillId="0" borderId="0" xfId="85" applyNumberFormat="1" applyFont="1" applyAlignment="1">
      <alignment horizontal="center" vertical="center"/>
    </xf>
    <xf numFmtId="356" fontId="10" fillId="0" borderId="98" xfId="85" applyNumberFormat="1" applyFont="1" applyBorder="1" applyAlignment="1">
      <alignment horizontal="center" vertical="center"/>
    </xf>
    <xf numFmtId="356" fontId="10" fillId="0" borderId="6" xfId="85" applyNumberFormat="1" applyFont="1" applyBorder="1" applyAlignment="1">
      <alignment horizontal="center"/>
    </xf>
    <xf numFmtId="356" fontId="11" fillId="0" borderId="0" xfId="85" applyNumberFormat="1" applyFont="1"/>
    <xf numFmtId="356" fontId="11" fillId="0" borderId="98" xfId="85" applyNumberFormat="1" applyFont="1" applyBorder="1"/>
    <xf numFmtId="356" fontId="10" fillId="0" borderId="0" xfId="95" applyNumberFormat="1" applyFont="1" applyBorder="1" applyProtection="1"/>
    <xf numFmtId="356" fontId="265" fillId="0" borderId="6" xfId="85" applyNumberFormat="1" applyFont="1" applyBorder="1" applyAlignment="1">
      <alignment horizontal="center" wrapText="1"/>
    </xf>
    <xf numFmtId="356" fontId="10" fillId="0" borderId="6" xfId="85" quotePrefix="1" applyNumberFormat="1" applyFont="1" applyBorder="1" applyAlignment="1">
      <alignment horizontal="center"/>
    </xf>
    <xf numFmtId="356" fontId="10" fillId="0" borderId="6" xfId="85" applyNumberFormat="1" applyFont="1" applyBorder="1" applyAlignment="1">
      <alignment horizontal="centerContinuous"/>
    </xf>
    <xf numFmtId="356" fontId="261" fillId="0" borderId="6" xfId="85" applyNumberFormat="1" applyFont="1" applyBorder="1" applyAlignment="1">
      <alignment horizontal="center"/>
    </xf>
    <xf numFmtId="356" fontId="10" fillId="0" borderId="6" xfId="85" quotePrefix="1" applyNumberFormat="1" applyFont="1" applyBorder="1" applyAlignment="1">
      <alignment horizontal="center" vertical="top"/>
    </xf>
    <xf numFmtId="356" fontId="10" fillId="0" borderId="6" xfId="85" applyNumberFormat="1" applyFont="1" applyBorder="1" applyAlignment="1">
      <alignment horizontal="center" vertical="top"/>
    </xf>
    <xf numFmtId="356" fontId="7" fillId="0" borderId="0" xfId="0" applyNumberFormat="1" applyFont="1"/>
    <xf numFmtId="0" fontId="10" fillId="0" borderId="89" xfId="48235" applyFont="1" applyBorder="1" applyAlignment="1">
      <alignment horizontal="left"/>
    </xf>
    <xf numFmtId="175" fontId="10" fillId="44" borderId="6" xfId="85" applyNumberFormat="1" applyFont="1" applyFill="1" applyBorder="1" applyAlignment="1">
      <alignment horizontal="left"/>
    </xf>
    <xf numFmtId="10" fontId="10" fillId="44" borderId="6" xfId="77" applyNumberFormat="1" applyFont="1" applyFill="1" applyBorder="1" applyAlignment="1" applyProtection="1">
      <alignment horizontal="center"/>
    </xf>
    <xf numFmtId="0" fontId="10" fillId="0" borderId="62" xfId="85" applyFont="1" applyBorder="1" applyAlignment="1">
      <alignment horizontal="left"/>
    </xf>
    <xf numFmtId="0" fontId="10" fillId="0" borderId="65" xfId="85" applyFont="1" applyBorder="1" applyAlignment="1">
      <alignment horizontal="left" indent="1"/>
    </xf>
    <xf numFmtId="9" fontId="7" fillId="3" borderId="6" xfId="48239" applyNumberFormat="1" applyBorder="1">
      <alignment vertical="center"/>
      <protection locked="0"/>
    </xf>
    <xf numFmtId="0" fontId="0" fillId="3" borderId="0" xfId="0" applyFill="1" applyAlignment="1">
      <alignment horizontal="left" vertical="top" indent="1"/>
    </xf>
    <xf numFmtId="0" fontId="0" fillId="3" borderId="0" xfId="0" applyFill="1" applyAlignment="1">
      <alignment horizontal="left" vertical="top" indent="1"/>
    </xf>
    <xf numFmtId="0" fontId="0" fillId="3" borderId="6" xfId="0" applyFill="1" applyBorder="1" applyAlignment="1">
      <alignment horizontal="center" vertical="center" wrapText="1"/>
    </xf>
    <xf numFmtId="357" fontId="0" fillId="0" borderId="0" xfId="0" applyNumberFormat="1" applyAlignment="1" applyProtection="1">
      <alignment horizontal="center" vertical="center"/>
      <protection locked="0"/>
    </xf>
    <xf numFmtId="173" fontId="0" fillId="0" borderId="6" xfId="0" applyNumberFormat="1" applyFont="1" applyFill="1" applyBorder="1" applyAlignment="1">
      <alignment horizontal="center" vertical="center"/>
    </xf>
    <xf numFmtId="9" fontId="10" fillId="0" borderId="6" xfId="77" applyFont="1" applyFill="1" applyBorder="1" applyAlignment="1">
      <alignment horizontal="center" vertical="center"/>
    </xf>
    <xf numFmtId="0" fontId="0" fillId="0" borderId="114" xfId="0" applyBorder="1" applyAlignment="1">
      <alignment wrapText="1"/>
    </xf>
    <xf numFmtId="0" fontId="0" fillId="0" borderId="114" xfId="0" applyBorder="1"/>
    <xf numFmtId="0" fontId="0" fillId="0" borderId="161" xfId="0" applyBorder="1"/>
    <xf numFmtId="173" fontId="0" fillId="0" borderId="6" xfId="0" applyNumberFormat="1" applyFont="1" applyFill="1" applyBorder="1" applyAlignment="1">
      <alignment horizontal="right" indent="1"/>
    </xf>
    <xf numFmtId="173" fontId="0" fillId="0" borderId="6" xfId="0" applyNumberFormat="1" applyFont="1" applyBorder="1" applyAlignment="1">
      <alignment horizontal="right" indent="1"/>
    </xf>
    <xf numFmtId="0" fontId="0" fillId="134" borderId="6" xfId="0" applyFill="1" applyBorder="1"/>
    <xf numFmtId="14" fontId="10" fillId="3" borderId="6" xfId="85" applyNumberFormat="1" applyFont="1" applyFill="1" applyBorder="1" applyAlignment="1" applyProtection="1">
      <alignment horizontal="left"/>
      <protection locked="0"/>
    </xf>
    <xf numFmtId="0" fontId="0" fillId="3" borderId="0" xfId="0" applyFill="1" applyAlignment="1">
      <alignment horizontal="left" vertical="top" indent="1"/>
    </xf>
    <xf numFmtId="0" fontId="10" fillId="0" borderId="0" xfId="85" applyFont="1" applyAlignment="1">
      <alignment horizontal="left" vertical="center" wrapText="1"/>
    </xf>
    <xf numFmtId="356" fontId="10" fillId="38" borderId="6" xfId="1" applyNumberFormat="1" applyFont="1" applyFill="1" applyBorder="1" applyProtection="1"/>
    <xf numFmtId="356" fontId="0" fillId="0" borderId="0" xfId="0" applyNumberFormat="1" applyAlignment="1">
      <alignment horizontal="left" vertical="top"/>
    </xf>
    <xf numFmtId="356" fontId="0" fillId="0" borderId="0" xfId="0" applyNumberFormat="1" applyAlignment="1">
      <alignment horizontal="center" vertical="center"/>
    </xf>
    <xf numFmtId="356" fontId="10" fillId="37" borderId="6" xfId="75" applyNumberFormat="1" applyFont="1" applyFill="1" applyBorder="1" applyAlignment="1">
      <alignment horizontal="center" vertical="center"/>
    </xf>
    <xf numFmtId="356" fontId="0" fillId="0" borderId="0" xfId="0" applyNumberFormat="1" applyAlignment="1" applyProtection="1">
      <alignment horizontal="center" vertical="center"/>
      <protection locked="0"/>
    </xf>
    <xf numFmtId="356" fontId="0" fillId="133" borderId="6" xfId="0" applyNumberFormat="1" applyFill="1" applyBorder="1" applyAlignment="1">
      <alignment horizontal="right" vertical="center"/>
    </xf>
    <xf numFmtId="356" fontId="10" fillId="52" borderId="6" xfId="2" applyNumberFormat="1" applyFont="1" applyFill="1" applyBorder="1" applyAlignment="1">
      <alignment horizontal="right" vertical="center"/>
    </xf>
    <xf numFmtId="356" fontId="0" fillId="52" borderId="6" xfId="0" applyNumberFormat="1" applyFill="1" applyBorder="1" applyAlignment="1">
      <alignment horizontal="right" vertical="center"/>
    </xf>
    <xf numFmtId="356" fontId="10" fillId="38" borderId="6" xfId="1" applyNumberFormat="1" applyFont="1" applyFill="1" applyBorder="1" applyAlignment="1" applyProtection="1">
      <alignment horizontal="right" vertical="center"/>
    </xf>
    <xf numFmtId="10" fontId="0" fillId="51" borderId="6" xfId="0" applyNumberFormat="1" applyFill="1" applyBorder="1" applyAlignment="1">
      <alignment horizontal="right" vertical="center"/>
    </xf>
    <xf numFmtId="356" fontId="0" fillId="0" borderId="0" xfId="0" applyNumberFormat="1" applyAlignment="1">
      <alignment horizontal="left" vertical="center"/>
    </xf>
    <xf numFmtId="356" fontId="0" fillId="0" borderId="0" xfId="0" applyNumberFormat="1" applyAlignment="1">
      <alignment horizontal="left" vertical="top" indent="1"/>
    </xf>
    <xf numFmtId="356" fontId="0" fillId="3" borderId="6" xfId="0" applyNumberFormat="1" applyFill="1" applyBorder="1" applyAlignment="1">
      <alignment horizontal="right" vertical="center"/>
    </xf>
    <xf numFmtId="356" fontId="0" fillId="53" borderId="0" xfId="0" applyNumberFormat="1" applyFill="1" applyAlignment="1">
      <alignment horizontal="center" vertical="center"/>
    </xf>
    <xf numFmtId="356" fontId="0" fillId="53" borderId="0" xfId="0" applyNumberFormat="1" applyFill="1" applyAlignment="1">
      <alignment horizontal="center" vertical="top"/>
    </xf>
    <xf numFmtId="356" fontId="0" fillId="0" borderId="0" xfId="0" applyNumberFormat="1" applyAlignment="1">
      <alignment horizontal="center" vertical="top"/>
    </xf>
    <xf numFmtId="356" fontId="10" fillId="52" borderId="6" xfId="2" applyNumberFormat="1" applyFont="1" applyFill="1" applyBorder="1" applyAlignment="1">
      <alignment vertical="center"/>
    </xf>
    <xf numFmtId="356" fontId="8" fillId="0" borderId="0" xfId="0" applyNumberFormat="1" applyFont="1" applyAlignment="1">
      <alignment horizontal="left" vertical="center"/>
    </xf>
    <xf numFmtId="356" fontId="8" fillId="0" borderId="0" xfId="0" applyNumberFormat="1" applyFont="1" applyAlignment="1">
      <alignment horizontal="left" vertical="top" indent="1"/>
    </xf>
    <xf numFmtId="356" fontId="0" fillId="0" borderId="0" xfId="0" applyNumberFormat="1" applyAlignment="1">
      <alignment horizontal="center" vertical="center" wrapText="1"/>
    </xf>
    <xf numFmtId="356" fontId="10" fillId="52" borderId="6" xfId="2" applyNumberFormat="1" applyFont="1" applyFill="1" applyBorder="1" applyAlignment="1">
      <alignment vertical="top"/>
    </xf>
    <xf numFmtId="0" fontId="8" fillId="0" borderId="0" xfId="0" applyFont="1" applyAlignment="1">
      <alignment horizontal="left" vertical="center"/>
    </xf>
    <xf numFmtId="356" fontId="8" fillId="52" borderId="6" xfId="0" applyNumberFormat="1" applyFont="1" applyFill="1" applyBorder="1" applyAlignment="1">
      <alignment horizontal="right" vertical="center"/>
    </xf>
    <xf numFmtId="356" fontId="0" fillId="0" borderId="0" xfId="0" applyNumberFormat="1" applyAlignment="1">
      <alignment horizontal="right" vertical="center"/>
    </xf>
    <xf numFmtId="356" fontId="10" fillId="52" borderId="6" xfId="1" applyNumberFormat="1" applyFont="1" applyFill="1" applyBorder="1" applyAlignment="1">
      <alignment vertical="center"/>
    </xf>
    <xf numFmtId="172" fontId="0" fillId="54" borderId="6" xfId="0" applyNumberFormat="1" applyFill="1" applyBorder="1" applyAlignment="1">
      <alignment horizontal="right" vertical="center"/>
    </xf>
    <xf numFmtId="356" fontId="0" fillId="51" borderId="6" xfId="0" applyNumberFormat="1" applyFill="1" applyBorder="1" applyAlignment="1">
      <alignment horizontal="right" vertical="center"/>
    </xf>
    <xf numFmtId="0" fontId="0" fillId="54" borderId="6" xfId="0" applyFill="1" applyBorder="1" applyAlignment="1">
      <alignment horizontal="right" vertical="center"/>
    </xf>
    <xf numFmtId="356" fontId="0" fillId="52" borderId="6" xfId="0" applyNumberFormat="1" applyFont="1" applyFill="1" applyBorder="1" applyAlignment="1">
      <alignment horizontal="right" vertical="center"/>
    </xf>
    <xf numFmtId="0" fontId="277" fillId="47" borderId="21" xfId="90" applyFont="1" applyFill="1" applyBorder="1" applyAlignment="1">
      <alignment horizontal="left" vertical="center"/>
    </xf>
    <xf numFmtId="0" fontId="30" fillId="47" borderId="21" xfId="90" applyFont="1" applyFill="1" applyBorder="1" applyAlignment="1">
      <alignment horizontal="left" vertical="center"/>
    </xf>
    <xf numFmtId="0" fontId="32" fillId="47" borderId="21" xfId="75" applyFont="1" applyFill="1" applyBorder="1" applyAlignment="1">
      <alignment vertical="center"/>
    </xf>
    <xf numFmtId="0" fontId="277" fillId="47" borderId="0" xfId="90" applyFont="1" applyFill="1" applyAlignment="1">
      <alignment horizontal="left" vertical="center"/>
    </xf>
    <xf numFmtId="0" fontId="30" fillId="47" borderId="0" xfId="90" applyFont="1" applyFill="1" applyAlignment="1">
      <alignment horizontal="left" vertical="center"/>
    </xf>
    <xf numFmtId="0" fontId="32" fillId="47" borderId="0" xfId="75" applyFont="1" applyFill="1" applyAlignment="1">
      <alignment vertical="center"/>
    </xf>
    <xf numFmtId="0" fontId="30" fillId="47" borderId="119" xfId="90" applyFont="1" applyFill="1" applyBorder="1" applyAlignment="1">
      <alignment horizontal="left" vertical="center"/>
    </xf>
    <xf numFmtId="0" fontId="32" fillId="47" borderId="119" xfId="75" applyFont="1" applyFill="1" applyBorder="1" applyAlignment="1">
      <alignment vertical="center"/>
    </xf>
    <xf numFmtId="1" fontId="0" fillId="0" borderId="0" xfId="0" applyNumberFormat="1" applyAlignment="1">
      <alignment horizontal="right" vertical="center"/>
    </xf>
    <xf numFmtId="358" fontId="10" fillId="38" borderId="6" xfId="77" applyNumberFormat="1" applyFont="1" applyFill="1" applyBorder="1" applyAlignment="1" applyProtection="1">
      <alignment vertical="center"/>
    </xf>
    <xf numFmtId="358" fontId="0" fillId="0" borderId="0" xfId="0" applyNumberFormat="1" applyAlignment="1">
      <alignment vertical="center"/>
    </xf>
    <xf numFmtId="358" fontId="10" fillId="38" borderId="6" xfId="77" applyNumberFormat="1" applyFont="1" applyFill="1" applyBorder="1" applyAlignment="1">
      <alignment vertical="center"/>
    </xf>
    <xf numFmtId="358" fontId="10" fillId="38" borderId="162" xfId="77" applyNumberFormat="1" applyFont="1" applyFill="1" applyBorder="1" applyAlignment="1">
      <alignment vertical="center"/>
    </xf>
    <xf numFmtId="358" fontId="11" fillId="38" borderId="120" xfId="77" applyNumberFormat="1" applyFont="1" applyFill="1" applyBorder="1" applyAlignment="1" applyProtection="1">
      <alignment vertical="center"/>
    </xf>
    <xf numFmtId="358" fontId="11" fillId="38" borderId="159" xfId="77" applyNumberFormat="1" applyFont="1" applyFill="1" applyBorder="1" applyAlignment="1" applyProtection="1">
      <alignment vertical="center"/>
    </xf>
    <xf numFmtId="358" fontId="11" fillId="38" borderId="158" xfId="77" applyNumberFormat="1" applyFont="1" applyFill="1" applyBorder="1" applyAlignment="1" applyProtection="1">
      <alignment vertical="center"/>
    </xf>
    <xf numFmtId="358" fontId="8" fillId="0" borderId="0" xfId="0" applyNumberFormat="1" applyFont="1" applyAlignment="1">
      <alignment vertical="center"/>
    </xf>
    <xf numFmtId="358" fontId="10" fillId="38" borderId="100" xfId="77" applyNumberFormat="1" applyFont="1" applyFill="1" applyBorder="1" applyAlignment="1">
      <alignment vertical="center"/>
    </xf>
    <xf numFmtId="358" fontId="10" fillId="38" borderId="100" xfId="77" applyNumberFormat="1" applyFont="1" applyFill="1" applyBorder="1" applyAlignment="1" applyProtection="1">
      <alignment vertical="center"/>
    </xf>
    <xf numFmtId="358" fontId="10" fillId="38" borderId="162" xfId="77" applyNumberFormat="1" applyFont="1" applyFill="1" applyBorder="1" applyAlignment="1" applyProtection="1">
      <alignment vertical="center"/>
    </xf>
    <xf numFmtId="170" fontId="0" fillId="0" borderId="0" xfId="0" applyNumberFormat="1" applyAlignment="1">
      <alignment vertical="center"/>
    </xf>
    <xf numFmtId="170" fontId="11" fillId="0" borderId="0" xfId="77" applyNumberFormat="1" applyFont="1" applyFill="1" applyBorder="1" applyAlignment="1" applyProtection="1">
      <alignment vertical="center"/>
    </xf>
    <xf numFmtId="170" fontId="8" fillId="0" borderId="0" xfId="0" applyNumberFormat="1" applyFont="1" applyAlignment="1">
      <alignment vertical="center"/>
    </xf>
    <xf numFmtId="170" fontId="11" fillId="53" borderId="0" xfId="77" applyNumberFormat="1" applyFont="1" applyFill="1" applyBorder="1" applyAlignment="1" applyProtection="1">
      <alignment vertical="center"/>
    </xf>
    <xf numFmtId="170" fontId="8" fillId="53" borderId="0" xfId="0" applyNumberFormat="1" applyFont="1" applyFill="1" applyAlignment="1">
      <alignment vertical="center"/>
    </xf>
    <xf numFmtId="0" fontId="11" fillId="116" borderId="0" xfId="77" applyNumberFormat="1" applyFont="1" applyFill="1" applyBorder="1" applyAlignment="1" applyProtection="1">
      <alignment horizontal="left" vertical="center"/>
    </xf>
    <xf numFmtId="356" fontId="10" fillId="39" borderId="6" xfId="1" applyNumberFormat="1" applyFont="1" applyFill="1" applyBorder="1" applyAlignment="1" applyProtection="1">
      <alignment vertical="center"/>
    </xf>
    <xf numFmtId="356" fontId="10" fillId="38" borderId="6" xfId="1" applyNumberFormat="1" applyFont="1" applyFill="1" applyBorder="1" applyAlignment="1" applyProtection="1">
      <alignment vertical="center"/>
    </xf>
    <xf numFmtId="356" fontId="10" fillId="0" borderId="0" xfId="1" applyNumberFormat="1" applyFont="1" applyAlignment="1">
      <alignment horizontal="left" vertical="center"/>
    </xf>
    <xf numFmtId="356" fontId="10" fillId="39" borderId="162" xfId="1" applyNumberFormat="1" applyFont="1" applyFill="1" applyBorder="1" applyAlignment="1" applyProtection="1">
      <alignment vertical="center"/>
    </xf>
    <xf numFmtId="356" fontId="10" fillId="38" borderId="162" xfId="1" applyNumberFormat="1" applyFont="1" applyFill="1" applyBorder="1" applyAlignment="1" applyProtection="1">
      <alignment vertical="center"/>
    </xf>
    <xf numFmtId="356" fontId="11" fillId="38" borderId="120" xfId="1" applyNumberFormat="1" applyFont="1" applyFill="1" applyBorder="1" applyAlignment="1" applyProtection="1">
      <alignment vertical="center"/>
    </xf>
    <xf numFmtId="356" fontId="11" fillId="38" borderId="159" xfId="1" applyNumberFormat="1" applyFont="1" applyFill="1" applyBorder="1" applyAlignment="1" applyProtection="1">
      <alignment vertical="center"/>
    </xf>
    <xf numFmtId="356" fontId="11" fillId="38" borderId="158" xfId="1" applyNumberFormat="1" applyFont="1" applyFill="1" applyBorder="1" applyAlignment="1" applyProtection="1">
      <alignment vertical="center"/>
    </xf>
    <xf numFmtId="356" fontId="10" fillId="52" borderId="100" xfId="1" applyNumberFormat="1" applyFont="1" applyFill="1" applyBorder="1" applyAlignment="1" applyProtection="1">
      <alignment vertical="center"/>
    </xf>
    <xf numFmtId="356" fontId="10" fillId="38" borderId="100" xfId="1" applyNumberFormat="1" applyFont="1" applyFill="1" applyBorder="1" applyAlignment="1" applyProtection="1">
      <alignment vertical="center"/>
    </xf>
    <xf numFmtId="356" fontId="10" fillId="52" borderId="6" xfId="1" applyNumberFormat="1" applyFont="1" applyFill="1" applyBorder="1" applyAlignment="1" applyProtection="1">
      <alignment vertical="center"/>
    </xf>
    <xf numFmtId="356" fontId="10" fillId="52" borderId="162" xfId="1" applyNumberFormat="1" applyFont="1" applyFill="1" applyBorder="1" applyAlignment="1" applyProtection="1">
      <alignment vertical="center"/>
    </xf>
    <xf numFmtId="356" fontId="11" fillId="51" borderId="120" xfId="1" applyNumberFormat="1" applyFont="1" applyFill="1" applyBorder="1" applyAlignment="1" applyProtection="1">
      <alignment vertical="center"/>
    </xf>
    <xf numFmtId="356" fontId="11" fillId="51" borderId="159" xfId="1" applyNumberFormat="1" applyFont="1" applyFill="1" applyBorder="1" applyAlignment="1" applyProtection="1">
      <alignment vertical="center"/>
    </xf>
    <xf numFmtId="356" fontId="11" fillId="51" borderId="158" xfId="1" applyNumberFormat="1" applyFont="1" applyFill="1" applyBorder="1" applyAlignment="1" applyProtection="1">
      <alignment vertical="center"/>
    </xf>
    <xf numFmtId="356" fontId="0" fillId="0" borderId="119" xfId="0" applyNumberFormat="1" applyBorder="1" applyAlignment="1">
      <alignment vertical="center"/>
    </xf>
    <xf numFmtId="356" fontId="0" fillId="0" borderId="0" xfId="0" applyNumberFormat="1" applyAlignment="1">
      <alignment vertical="center"/>
    </xf>
    <xf numFmtId="0" fontId="0" fillId="47" borderId="21" xfId="0" applyFill="1" applyBorder="1" applyAlignment="1">
      <alignment vertical="center"/>
    </xf>
    <xf numFmtId="173" fontId="8" fillId="0" borderId="0" xfId="0" applyNumberFormat="1" applyFont="1" applyAlignment="1">
      <alignment horizontal="center" vertical="center"/>
    </xf>
    <xf numFmtId="0" fontId="0" fillId="53" borderId="0" xfId="0" applyFill="1" applyAlignment="1">
      <alignment horizontal="left" vertical="center"/>
    </xf>
    <xf numFmtId="356" fontId="8" fillId="0" borderId="0" xfId="0" applyNumberFormat="1" applyFont="1" applyAlignment="1">
      <alignment horizontal="right" vertical="center"/>
    </xf>
    <xf numFmtId="356" fontId="285" fillId="0" borderId="0" xfId="0" applyNumberFormat="1" applyFont="1" applyAlignment="1">
      <alignment vertical="center"/>
    </xf>
    <xf numFmtId="356" fontId="0" fillId="54" borderId="6" xfId="0" applyNumberFormat="1" applyFill="1" applyBorder="1" applyAlignment="1">
      <alignment horizontal="right" vertical="center"/>
    </xf>
    <xf numFmtId="1" fontId="8" fillId="0" borderId="0" xfId="0" applyNumberFormat="1" applyFont="1" applyAlignment="1">
      <alignment horizontal="center" vertical="center"/>
    </xf>
    <xf numFmtId="0" fontId="0" fillId="0" borderId="68" xfId="0" applyBorder="1" applyAlignment="1">
      <alignment horizontal="center" vertical="center"/>
    </xf>
    <xf numFmtId="356" fontId="8" fillId="51" borderId="6" xfId="1" applyNumberFormat="1" applyFont="1" applyFill="1" applyBorder="1" applyAlignment="1">
      <alignment horizontal="right" vertical="center"/>
    </xf>
    <xf numFmtId="356" fontId="8" fillId="51" borderId="59" xfId="1" applyNumberFormat="1" applyFont="1" applyFill="1" applyBorder="1" applyAlignment="1">
      <alignment horizontal="right" vertical="center"/>
    </xf>
    <xf numFmtId="356" fontId="0" fillId="0" borderId="0" xfId="1" applyNumberFormat="1" applyFont="1" applyFill="1" applyBorder="1" applyAlignment="1">
      <alignment horizontal="right" vertical="center"/>
    </xf>
    <xf numFmtId="356" fontId="10" fillId="51" borderId="6" xfId="1" applyNumberFormat="1" applyFont="1" applyFill="1" applyBorder="1" applyAlignment="1">
      <alignment vertical="center"/>
    </xf>
    <xf numFmtId="356" fontId="0" fillId="51" borderId="6" xfId="1" applyNumberFormat="1" applyFont="1" applyFill="1" applyBorder="1" applyAlignment="1">
      <alignment horizontal="right" vertical="center"/>
    </xf>
    <xf numFmtId="356" fontId="0" fillId="52" borderId="6" xfId="0" applyNumberFormat="1" applyFill="1" applyBorder="1" applyAlignment="1">
      <alignment vertical="center"/>
    </xf>
    <xf numFmtId="356" fontId="0" fillId="3" borderId="6" xfId="1" applyNumberFormat="1" applyFont="1" applyFill="1" applyBorder="1" applyAlignment="1">
      <alignment horizontal="right" vertical="center"/>
    </xf>
    <xf numFmtId="356" fontId="10" fillId="38" borderId="6" xfId="1" applyNumberFormat="1" applyFont="1" applyFill="1" applyBorder="1" applyAlignment="1">
      <alignment vertical="center"/>
    </xf>
    <xf numFmtId="356" fontId="11" fillId="38" borderId="6" xfId="1" applyNumberFormat="1" applyFont="1" applyFill="1" applyBorder="1" applyAlignment="1">
      <alignment vertical="center"/>
    </xf>
    <xf numFmtId="356" fontId="11" fillId="0" borderId="0" xfId="1" applyNumberFormat="1" applyFont="1" applyFill="1" applyBorder="1" applyAlignment="1">
      <alignment vertical="center"/>
    </xf>
    <xf numFmtId="356" fontId="11" fillId="0" borderId="11" xfId="1" applyNumberFormat="1" applyFont="1" applyFill="1" applyBorder="1" applyAlignment="1">
      <alignment vertical="center"/>
    </xf>
    <xf numFmtId="165" fontId="11" fillId="0" borderId="0" xfId="1" applyNumberFormat="1" applyFont="1" applyFill="1" applyBorder="1" applyAlignment="1">
      <alignment vertical="center"/>
    </xf>
    <xf numFmtId="165" fontId="11" fillId="0" borderId="11" xfId="1" applyNumberFormat="1" applyFont="1" applyFill="1" applyBorder="1" applyAlignment="1">
      <alignment vertical="center"/>
    </xf>
    <xf numFmtId="0" fontId="0" fillId="0" borderId="11" xfId="0" applyBorder="1" applyAlignment="1">
      <alignment vertical="center"/>
    </xf>
    <xf numFmtId="0" fontId="0" fillId="3" borderId="119" xfId="0" applyFill="1" applyBorder="1" applyAlignment="1">
      <alignment vertical="center"/>
    </xf>
    <xf numFmtId="0" fontId="0" fillId="3" borderId="80" xfId="0" applyFill="1" applyBorder="1" applyAlignment="1">
      <alignment vertical="center"/>
    </xf>
    <xf numFmtId="356" fontId="10" fillId="133" borderId="6" xfId="75" applyNumberFormat="1" applyFont="1" applyFill="1" applyBorder="1" applyAlignment="1">
      <alignment vertical="center"/>
    </xf>
    <xf numFmtId="356" fontId="25" fillId="41" borderId="6" xfId="75" applyNumberFormat="1" applyFont="1" applyFill="1" applyBorder="1" applyAlignment="1">
      <alignment vertical="center"/>
    </xf>
    <xf numFmtId="356" fontId="10" fillId="40" borderId="6" xfId="75" applyNumberFormat="1" applyFont="1" applyFill="1" applyBorder="1" applyAlignment="1">
      <alignment vertical="center"/>
    </xf>
    <xf numFmtId="356" fontId="11" fillId="52" borderId="6" xfId="2" applyNumberFormat="1" applyFont="1" applyFill="1" applyBorder="1" applyAlignment="1">
      <alignment horizontal="right" vertical="center"/>
    </xf>
    <xf numFmtId="0" fontId="30" fillId="0" borderId="0" xfId="90" applyFont="1" applyAlignment="1">
      <alignment horizontal="left" vertical="center"/>
    </xf>
    <xf numFmtId="0" fontId="32" fillId="0" borderId="0" xfId="75" applyFont="1" applyAlignment="1">
      <alignment vertical="center"/>
    </xf>
    <xf numFmtId="356" fontId="11" fillId="38" borderId="6" xfId="1" applyNumberFormat="1" applyFont="1" applyFill="1" applyBorder="1" applyAlignment="1" applyProtection="1">
      <alignment vertical="center"/>
    </xf>
    <xf numFmtId="356" fontId="10" fillId="3" borderId="6" xfId="2" applyNumberFormat="1" applyFont="1" applyFill="1" applyBorder="1" applyAlignment="1">
      <alignment vertical="center"/>
    </xf>
    <xf numFmtId="0" fontId="10" fillId="42" borderId="0" xfId="75" applyFont="1" applyFill="1" applyAlignment="1">
      <alignment horizontal="center" vertical="center"/>
    </xf>
    <xf numFmtId="356" fontId="10" fillId="42" borderId="0" xfId="75" applyNumberFormat="1" applyFont="1" applyFill="1" applyAlignment="1">
      <alignment horizontal="center" vertical="center"/>
    </xf>
    <xf numFmtId="356" fontId="10" fillId="51" borderId="6" xfId="1" applyNumberFormat="1" applyFont="1" applyFill="1" applyBorder="1" applyAlignment="1" applyProtection="1">
      <alignment vertical="center"/>
    </xf>
    <xf numFmtId="356" fontId="10" fillId="0" borderId="0" xfId="2" applyNumberFormat="1" applyFont="1" applyFill="1" applyBorder="1" applyAlignment="1">
      <alignment vertical="center"/>
    </xf>
    <xf numFmtId="178" fontId="0" fillId="51" borderId="6" xfId="1" applyNumberFormat="1" applyFont="1" applyFill="1" applyBorder="1" applyAlignment="1">
      <alignment horizontal="right" vertical="center"/>
    </xf>
    <xf numFmtId="172" fontId="10" fillId="0" borderId="0" xfId="1" applyNumberFormat="1" applyFont="1" applyFill="1" applyBorder="1" applyAlignment="1" applyProtection="1">
      <alignment vertical="center"/>
    </xf>
    <xf numFmtId="172" fontId="11" fillId="42" borderId="28" xfId="1" applyNumberFormat="1" applyFont="1" applyFill="1" applyBorder="1" applyAlignment="1" applyProtection="1">
      <alignment vertical="center"/>
    </xf>
    <xf numFmtId="0" fontId="0" fillId="116" borderId="0" xfId="0" applyFill="1" applyAlignment="1">
      <alignment horizontal="left" vertical="center"/>
    </xf>
    <xf numFmtId="170" fontId="10" fillId="116" borderId="6" xfId="1" applyNumberFormat="1" applyFont="1" applyFill="1" applyBorder="1" applyAlignment="1" applyProtection="1">
      <alignment vertical="center"/>
    </xf>
    <xf numFmtId="0" fontId="248" fillId="116" borderId="0" xfId="0" applyFont="1" applyFill="1" applyAlignment="1">
      <alignment horizontal="left" vertical="center"/>
    </xf>
    <xf numFmtId="0" fontId="248" fillId="0" borderId="0" xfId="0" applyFont="1" applyAlignment="1">
      <alignment horizontal="left" vertical="center"/>
    </xf>
    <xf numFmtId="172" fontId="0" fillId="0" borderId="0" xfId="1" applyNumberFormat="1" applyFont="1" applyFill="1" applyBorder="1" applyAlignment="1">
      <alignment horizontal="right" vertical="center"/>
    </xf>
    <xf numFmtId="172" fontId="0" fillId="0" borderId="0" xfId="1" applyNumberFormat="1" applyFont="1" applyFill="1" applyBorder="1" applyAlignment="1">
      <alignment vertical="center"/>
    </xf>
    <xf numFmtId="359" fontId="10" fillId="38" borderId="6" xfId="77" applyNumberFormat="1" applyFont="1" applyFill="1" applyBorder="1" applyAlignment="1">
      <alignment vertical="center"/>
    </xf>
    <xf numFmtId="356" fontId="7" fillId="51" borderId="6" xfId="1" applyNumberFormat="1" applyFont="1" applyFill="1" applyBorder="1" applyAlignment="1">
      <alignment horizontal="right" vertical="center"/>
    </xf>
    <xf numFmtId="356" fontId="8" fillId="52" borderId="6" xfId="1" applyNumberFormat="1" applyFont="1" applyFill="1" applyBorder="1" applyAlignment="1">
      <alignment horizontal="right" vertical="center"/>
    </xf>
    <xf numFmtId="252" fontId="0" fillId="0" borderId="0" xfId="0" applyNumberFormat="1" applyAlignment="1">
      <alignment horizontal="left" vertical="center"/>
    </xf>
    <xf numFmtId="356" fontId="10" fillId="3" borderId="6" xfId="1" applyNumberFormat="1" applyFont="1" applyFill="1" applyBorder="1" applyAlignment="1" applyProtection="1">
      <alignment vertical="center"/>
    </xf>
    <xf numFmtId="9" fontId="0" fillId="51" borderId="6" xfId="1" applyNumberFormat="1" applyFont="1" applyFill="1" applyBorder="1" applyAlignment="1">
      <alignment horizontal="right" vertical="center"/>
    </xf>
    <xf numFmtId="172" fontId="0" fillId="51" borderId="6" xfId="0" applyNumberFormat="1" applyFill="1" applyBorder="1" applyAlignment="1">
      <alignment vertical="center"/>
    </xf>
    <xf numFmtId="170" fontId="0" fillId="51" borderId="6" xfId="0" applyNumberFormat="1" applyFill="1" applyBorder="1" applyAlignment="1">
      <alignment vertical="center"/>
    </xf>
    <xf numFmtId="356" fontId="0" fillId="51" borderId="6" xfId="0" applyNumberFormat="1" applyFill="1" applyBorder="1" applyAlignment="1">
      <alignment vertical="center"/>
    </xf>
    <xf numFmtId="359" fontId="7" fillId="3" borderId="6" xfId="77" applyNumberFormat="1" applyFill="1" applyBorder="1" applyAlignment="1" applyProtection="1">
      <alignment vertical="center"/>
      <protection locked="0"/>
    </xf>
    <xf numFmtId="170" fontId="7" fillId="43" borderId="6" xfId="77" applyNumberFormat="1" applyFill="1" applyBorder="1" applyAlignment="1" applyProtection="1">
      <alignment vertical="center"/>
    </xf>
    <xf numFmtId="356" fontId="10" fillId="133" borderId="6" xfId="2" applyNumberFormat="1" applyFont="1" applyFill="1" applyBorder="1" applyAlignment="1">
      <alignment vertical="center"/>
    </xf>
    <xf numFmtId="356" fontId="10" fillId="39" borderId="6" xfId="75" applyNumberFormat="1" applyFont="1" applyFill="1" applyBorder="1" applyAlignment="1">
      <alignment vertical="center"/>
    </xf>
    <xf numFmtId="356" fontId="11" fillId="52" borderId="6" xfId="2" applyNumberFormat="1" applyFont="1" applyFill="1" applyBorder="1" applyAlignment="1">
      <alignment vertical="center"/>
    </xf>
    <xf numFmtId="355" fontId="10" fillId="54" borderId="6" xfId="2" applyNumberFormat="1" applyFont="1" applyFill="1" applyBorder="1" applyAlignment="1">
      <alignment horizontal="center" vertical="center"/>
    </xf>
    <xf numFmtId="1" fontId="0" fillId="0" borderId="0" xfId="0" applyNumberFormat="1" applyAlignment="1">
      <alignment horizontal="center" vertical="center"/>
    </xf>
    <xf numFmtId="172" fontId="11" fillId="0" borderId="0" xfId="2" applyNumberFormat="1" applyFont="1" applyFill="1" applyBorder="1" applyAlignment="1">
      <alignment vertical="center"/>
    </xf>
    <xf numFmtId="178" fontId="0" fillId="52" borderId="6" xfId="0" applyNumberFormat="1" applyFill="1" applyBorder="1" applyAlignment="1">
      <alignment horizontal="right" vertical="center"/>
    </xf>
    <xf numFmtId="172" fontId="286" fillId="0" borderId="0" xfId="2" applyNumberFormat="1" applyFont="1" applyFill="1" applyBorder="1" applyAlignment="1">
      <alignment vertical="center"/>
    </xf>
    <xf numFmtId="252" fontId="11" fillId="0" borderId="0" xfId="2" applyNumberFormat="1" applyFont="1" applyFill="1" applyBorder="1" applyAlignment="1">
      <alignment vertical="center"/>
    </xf>
    <xf numFmtId="170" fontId="0" fillId="51" borderId="6" xfId="0" applyNumberFormat="1" applyFill="1" applyBorder="1" applyAlignment="1">
      <alignment horizontal="right" vertical="center"/>
    </xf>
    <xf numFmtId="10" fontId="10" fillId="52" borderId="6" xfId="2" applyNumberFormat="1" applyFont="1" applyFill="1" applyBorder="1" applyAlignment="1">
      <alignment vertical="center"/>
    </xf>
    <xf numFmtId="252" fontId="0" fillId="0" borderId="0" xfId="0" applyNumberFormat="1" applyAlignment="1">
      <alignment vertical="center"/>
    </xf>
    <xf numFmtId="172" fontId="0" fillId="0" borderId="0" xfId="0" applyNumberFormat="1" applyAlignment="1">
      <alignment vertical="center"/>
    </xf>
    <xf numFmtId="0" fontId="292" fillId="47" borderId="119" xfId="90" applyFont="1" applyFill="1" applyBorder="1" applyAlignment="1">
      <alignment horizontal="center" vertical="center"/>
    </xf>
    <xf numFmtId="0" fontId="302" fillId="0" borderId="0" xfId="90" applyFont="1" applyAlignment="1">
      <alignment horizontal="center" vertical="center"/>
    </xf>
    <xf numFmtId="356" fontId="10" fillId="0" borderId="0" xfId="0" applyNumberFormat="1" applyFont="1" applyAlignment="1">
      <alignment horizontal="left" vertical="center"/>
    </xf>
    <xf numFmtId="178" fontId="0" fillId="51" borderId="6" xfId="0" applyNumberFormat="1" applyFill="1" applyBorder="1" applyAlignment="1">
      <alignment horizontal="right" vertical="center"/>
    </xf>
    <xf numFmtId="170" fontId="10" fillId="51" borderId="6" xfId="1" applyNumberFormat="1" applyFont="1" applyFill="1" applyBorder="1" applyAlignment="1" applyProtection="1">
      <alignment vertical="center"/>
    </xf>
    <xf numFmtId="172" fontId="10" fillId="0" borderId="0" xfId="2" applyNumberFormat="1" applyFont="1" applyAlignment="1">
      <alignment vertical="center"/>
    </xf>
    <xf numFmtId="0" fontId="8" fillId="53" borderId="0" xfId="0" applyFont="1" applyFill="1" applyAlignment="1">
      <alignment horizontal="left" vertical="center"/>
    </xf>
    <xf numFmtId="356" fontId="8" fillId="0" borderId="0" xfId="0" applyNumberFormat="1" applyFont="1" applyAlignment="1">
      <alignment vertical="center"/>
    </xf>
    <xf numFmtId="356" fontId="0" fillId="3" borderId="68" xfId="0" applyNumberFormat="1" applyFill="1" applyBorder="1" applyAlignment="1">
      <alignment horizontal="right" vertical="center"/>
    </xf>
    <xf numFmtId="356" fontId="0" fillId="52" borderId="68" xfId="0" applyNumberFormat="1" applyFill="1" applyBorder="1" applyAlignment="1">
      <alignment horizontal="right" vertical="center"/>
    </xf>
    <xf numFmtId="0" fontId="0" fillId="136" borderId="6" xfId="0" applyFill="1" applyBorder="1" applyAlignment="1">
      <alignment vertical="center"/>
    </xf>
    <xf numFmtId="170" fontId="0" fillId="3" borderId="6" xfId="0" applyNumberFormat="1" applyFill="1" applyBorder="1" applyAlignment="1">
      <alignment horizontal="right" vertical="center"/>
    </xf>
    <xf numFmtId="0" fontId="8" fillId="0" borderId="0" xfId="0" applyFont="1" applyAlignment="1">
      <alignment vertical="center"/>
    </xf>
    <xf numFmtId="0" fontId="29" fillId="0" borderId="0" xfId="0" applyFont="1" applyAlignment="1">
      <alignment horizontal="left" vertical="center"/>
    </xf>
    <xf numFmtId="356" fontId="0" fillId="0" borderId="6" xfId="0" applyNumberFormat="1" applyBorder="1" applyAlignment="1">
      <alignment horizontal="right" vertical="center"/>
    </xf>
    <xf numFmtId="14" fontId="10" fillId="42" borderId="0" xfId="2" applyNumberFormat="1" applyFont="1" applyFill="1" applyBorder="1" applyAlignment="1">
      <alignment vertical="center"/>
    </xf>
    <xf numFmtId="0" fontId="8" fillId="42" borderId="0" xfId="0" applyFont="1" applyFill="1" applyAlignment="1">
      <alignment vertical="center"/>
    </xf>
    <xf numFmtId="14" fontId="10" fillId="3" borderId="6" xfId="2" applyNumberFormat="1" applyFont="1" applyFill="1" applyBorder="1" applyAlignment="1">
      <alignment horizontal="center" vertical="center"/>
    </xf>
    <xf numFmtId="0" fontId="0" fillId="3" borderId="10" xfId="0" applyFill="1" applyBorder="1" applyAlignment="1">
      <alignment horizontal="left" vertical="center" wrapText="1"/>
    </xf>
    <xf numFmtId="0" fontId="0" fillId="3" borderId="0" xfId="0" applyFill="1" applyBorder="1" applyAlignment="1">
      <alignment horizontal="left" vertical="center" wrapText="1"/>
    </xf>
    <xf numFmtId="0" fontId="0" fillId="3" borderId="11" xfId="0" applyFill="1" applyBorder="1" applyAlignment="1">
      <alignment horizontal="left" vertical="center" wrapText="1"/>
    </xf>
    <xf numFmtId="0" fontId="0" fillId="3" borderId="0" xfId="0" applyFill="1" applyAlignment="1">
      <alignment horizontal="left" vertical="top" indent="1"/>
    </xf>
    <xf numFmtId="0" fontId="0" fillId="0" borderId="76" xfId="0" applyFill="1" applyBorder="1" applyAlignment="1">
      <alignment horizontal="left" vertical="center" wrapText="1"/>
    </xf>
    <xf numFmtId="0" fontId="0" fillId="0" borderId="76" xfId="0" applyFill="1" applyBorder="1" applyAlignment="1">
      <alignment vertical="center" wrapText="1"/>
    </xf>
    <xf numFmtId="0" fontId="0" fillId="3" borderId="0" xfId="0" applyFill="1" applyAlignment="1">
      <alignment horizontal="left" vertical="top" indent="1"/>
    </xf>
    <xf numFmtId="360" fontId="0" fillId="0" borderId="0" xfId="0" applyNumberFormat="1" applyAlignment="1">
      <alignment horizontal="left" vertical="top"/>
    </xf>
    <xf numFmtId="0" fontId="0" fillId="0" borderId="0" xfId="0" applyAlignment="1">
      <alignment horizontal="left" vertical="top" wrapText="1"/>
    </xf>
    <xf numFmtId="0" fontId="0" fillId="0" borderId="0" xfId="0" quotePrefix="1" applyAlignment="1">
      <alignment horizontal="left" vertical="top" wrapText="1"/>
    </xf>
    <xf numFmtId="0" fontId="24" fillId="0" borderId="6" xfId="75" applyFont="1" applyBorder="1" applyAlignment="1">
      <alignment horizontal="center" vertical="center"/>
    </xf>
    <xf numFmtId="0" fontId="0" fillId="0" borderId="0" xfId="0" applyAlignment="1">
      <alignment horizontal="center"/>
    </xf>
    <xf numFmtId="0" fontId="0" fillId="53" borderId="0" xfId="0" applyFill="1" applyAlignment="1">
      <alignment horizontal="left" wrapText="1"/>
    </xf>
    <xf numFmtId="0" fontId="0" fillId="0" borderId="89" xfId="0" applyBorder="1" applyAlignment="1">
      <alignment horizontal="left" vertical="center" wrapText="1" indent="1"/>
    </xf>
    <xf numFmtId="0" fontId="0" fillId="0" borderId="73" xfId="0" applyBorder="1" applyAlignment="1">
      <alignment horizontal="left" vertical="center" wrapText="1" indent="1"/>
    </xf>
    <xf numFmtId="0" fontId="0" fillId="0" borderId="87" xfId="0" applyBorder="1" applyAlignment="1">
      <alignment horizontal="left" vertical="center" wrapText="1" indent="1"/>
    </xf>
    <xf numFmtId="0" fontId="0" fillId="0" borderId="74" xfId="0" applyBorder="1" applyAlignment="1">
      <alignment horizontal="left" vertical="center" wrapText="1" indent="1"/>
    </xf>
    <xf numFmtId="0" fontId="0" fillId="0" borderId="114" xfId="0" applyBorder="1" applyAlignment="1">
      <alignment vertical="center" wrapText="1"/>
    </xf>
    <xf numFmtId="0" fontId="0" fillId="0" borderId="28" xfId="0" applyBorder="1" applyAlignment="1">
      <alignment vertical="center" wrapText="1"/>
    </xf>
    <xf numFmtId="0" fontId="0" fillId="0" borderId="117" xfId="0" applyBorder="1" applyAlignment="1">
      <alignment vertical="center" wrapText="1"/>
    </xf>
    <xf numFmtId="0" fontId="0" fillId="0" borderId="90" xfId="0" applyBorder="1" applyAlignment="1">
      <alignment vertical="center" wrapText="1"/>
    </xf>
    <xf numFmtId="0" fontId="0" fillId="0" borderId="75" xfId="0" applyBorder="1" applyAlignment="1">
      <alignment vertical="center" wrapText="1"/>
    </xf>
    <xf numFmtId="0" fontId="0" fillId="0" borderId="86" xfId="0" applyBorder="1" applyAlignment="1">
      <alignment vertical="center" wrapText="1"/>
    </xf>
    <xf numFmtId="0" fontId="0" fillId="0" borderId="87" xfId="0" applyBorder="1" applyAlignment="1">
      <alignment vertical="center" wrapText="1"/>
    </xf>
    <xf numFmtId="0" fontId="0" fillId="0" borderId="88" xfId="0" applyBorder="1" applyAlignment="1">
      <alignment vertical="center" wrapText="1"/>
    </xf>
    <xf numFmtId="0" fontId="0" fillId="0" borderId="82" xfId="0" applyBorder="1" applyAlignment="1">
      <alignment vertical="center" wrapText="1"/>
    </xf>
    <xf numFmtId="0" fontId="0" fillId="0" borderId="90" xfId="0" applyBorder="1" applyAlignment="1">
      <alignment horizontal="left" vertical="center" wrapText="1" indent="1"/>
    </xf>
    <xf numFmtId="0" fontId="0" fillId="0" borderId="72" xfId="0" applyBorder="1" applyAlignment="1">
      <alignment horizontal="left" vertical="center" wrapText="1" indent="1"/>
    </xf>
    <xf numFmtId="3" fontId="0" fillId="0" borderId="114" xfId="0" applyNumberFormat="1" applyBorder="1" applyAlignment="1">
      <alignment horizontal="center" vertical="center" wrapText="1"/>
    </xf>
    <xf numFmtId="3" fontId="0" fillId="0" borderId="6" xfId="0" applyNumberFormat="1" applyBorder="1" applyAlignment="1">
      <alignment horizontal="center" vertical="center" wrapText="1"/>
    </xf>
    <xf numFmtId="173" fontId="0" fillId="119" borderId="90" xfId="0" applyNumberFormat="1" applyFill="1" applyBorder="1" applyAlignment="1">
      <alignment horizontal="center"/>
    </xf>
    <xf numFmtId="173" fontId="0" fillId="119" borderId="85" xfId="0" applyNumberFormat="1" applyFill="1" applyBorder="1" applyAlignment="1">
      <alignment horizontal="center"/>
    </xf>
    <xf numFmtId="173" fontId="0" fillId="119" borderId="61" xfId="0" applyNumberFormat="1" applyFill="1" applyBorder="1" applyAlignment="1">
      <alignment horizontal="center"/>
    </xf>
    <xf numFmtId="1" fontId="8" fillId="0" borderId="133" xfId="0" applyNumberFormat="1" applyFont="1" applyBorder="1" applyAlignment="1">
      <alignment horizontal="center" vertical="center"/>
    </xf>
    <xf numFmtId="1" fontId="8" fillId="0" borderId="134" xfId="0" applyNumberFormat="1" applyFont="1" applyBorder="1" applyAlignment="1">
      <alignment horizontal="center" vertical="center"/>
    </xf>
    <xf numFmtId="1" fontId="8" fillId="0" borderId="135" xfId="0" applyNumberFormat="1" applyFont="1" applyBorder="1" applyAlignment="1">
      <alignment horizontal="center" vertical="center"/>
    </xf>
    <xf numFmtId="0" fontId="0" fillId="0" borderId="150" xfId="0" applyBorder="1" applyAlignment="1">
      <alignment horizontal="center" vertical="center" wrapText="1"/>
    </xf>
    <xf numFmtId="0" fontId="0" fillId="0" borderId="151" xfId="0" applyBorder="1" applyAlignment="1">
      <alignment horizontal="center" vertical="center" wrapText="1"/>
    </xf>
    <xf numFmtId="0" fontId="0" fillId="0" borderId="114" xfId="0" applyBorder="1" applyAlignment="1">
      <alignment horizontal="center" vertical="center" wrapText="1"/>
    </xf>
    <xf numFmtId="0" fontId="0" fillId="0" borderId="6" xfId="0" applyBorder="1" applyAlignment="1">
      <alignment horizontal="center" vertical="center" wrapText="1"/>
    </xf>
    <xf numFmtId="0" fontId="0" fillId="0" borderId="89" xfId="0" applyBorder="1" applyAlignment="1">
      <alignment horizontal="left" vertical="center" wrapText="1"/>
    </xf>
    <xf numFmtId="0" fontId="0" fillId="0" borderId="73" xfId="0" applyBorder="1" applyAlignment="1">
      <alignment horizontal="left" vertical="center" wrapText="1"/>
    </xf>
    <xf numFmtId="0" fontId="0" fillId="0" borderId="90" xfId="0" applyBorder="1" applyAlignment="1">
      <alignment horizontal="left" vertical="center" wrapText="1"/>
    </xf>
    <xf numFmtId="0" fontId="0" fillId="0" borderId="72" xfId="0" applyBorder="1" applyAlignment="1">
      <alignment horizontal="left" vertical="center" wrapText="1"/>
    </xf>
    <xf numFmtId="0" fontId="0" fillId="0" borderId="87" xfId="0" applyBorder="1" applyAlignment="1">
      <alignment horizontal="left" vertical="center" wrapText="1"/>
    </xf>
    <xf numFmtId="0" fontId="0" fillId="0" borderId="74"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center" vertical="center" wrapText="1"/>
    </xf>
    <xf numFmtId="0" fontId="0" fillId="0" borderId="117" xfId="0" applyBorder="1" applyAlignment="1">
      <alignment horizontal="center" vertical="center" wrapText="1"/>
    </xf>
    <xf numFmtId="0" fontId="0" fillId="0" borderId="152" xfId="0" applyBorder="1" applyAlignment="1">
      <alignment horizontal="left" vertical="center" wrapText="1" indent="1"/>
    </xf>
    <xf numFmtId="0" fontId="0" fillId="0" borderId="153" xfId="0" applyBorder="1" applyAlignment="1">
      <alignment horizontal="left" vertical="center" wrapText="1" indent="1"/>
    </xf>
    <xf numFmtId="0" fontId="0" fillId="0" borderId="0" xfId="0" applyAlignment="1">
      <alignment horizontal="left" vertical="center" wrapText="1" indent="1"/>
    </xf>
    <xf numFmtId="0" fontId="10" fillId="36" borderId="6" xfId="75" applyFont="1" applyFill="1" applyBorder="1" applyAlignment="1">
      <alignment horizontal="left" vertical="top" wrapText="1"/>
    </xf>
    <xf numFmtId="0" fontId="0" fillId="0" borderId="6" xfId="0" applyBorder="1" applyAlignment="1">
      <alignment horizontal="left" vertical="top" wrapText="1"/>
    </xf>
    <xf numFmtId="0" fontId="33" fillId="0" borderId="6" xfId="75" applyFont="1" applyBorder="1" applyAlignment="1">
      <alignment horizontal="center" vertical="center" wrapText="1"/>
    </xf>
    <xf numFmtId="0" fontId="0" fillId="0" borderId="6" xfId="0" applyBorder="1" applyAlignment="1">
      <alignment wrapText="1"/>
    </xf>
    <xf numFmtId="0" fontId="10" fillId="36" borderId="6" xfId="75" applyFont="1" applyFill="1" applyBorder="1" applyAlignment="1">
      <alignment horizontal="left" vertical="center" wrapText="1"/>
    </xf>
    <xf numFmtId="0" fontId="0" fillId="0" borderId="6" xfId="0" applyBorder="1" applyAlignment="1">
      <alignment horizontal="left" vertical="center" wrapText="1"/>
    </xf>
    <xf numFmtId="0" fontId="0" fillId="3" borderId="10" xfId="0" applyFill="1" applyBorder="1" applyAlignment="1">
      <alignment horizontal="left" vertical="center" wrapText="1"/>
    </xf>
    <xf numFmtId="0" fontId="0" fillId="3" borderId="0" xfId="0" applyFill="1" applyBorder="1" applyAlignment="1">
      <alignment horizontal="left" vertical="center" wrapText="1"/>
    </xf>
    <xf numFmtId="0" fontId="0" fillId="3" borderId="11" xfId="0" applyFill="1" applyBorder="1" applyAlignment="1">
      <alignment horizontal="left" vertical="center" wrapText="1"/>
    </xf>
    <xf numFmtId="0" fontId="0" fillId="3" borderId="156" xfId="0" applyFill="1" applyBorder="1" applyAlignment="1">
      <alignment horizontal="left" vertical="center" wrapText="1"/>
    </xf>
    <xf numFmtId="0" fontId="0" fillId="3" borderId="110" xfId="0" applyFill="1" applyBorder="1" applyAlignment="1">
      <alignment horizontal="left" vertical="center" wrapText="1"/>
    </xf>
    <xf numFmtId="0" fontId="0" fillId="3" borderId="157" xfId="0" applyFill="1" applyBorder="1" applyAlignment="1">
      <alignment horizontal="left" vertical="center" wrapText="1"/>
    </xf>
    <xf numFmtId="0" fontId="0" fillId="3" borderId="79" xfId="0" quotePrefix="1" applyFill="1" applyBorder="1" applyAlignment="1">
      <alignment horizontal="left" vertical="center" wrapText="1"/>
    </xf>
    <xf numFmtId="0" fontId="0" fillId="3" borderId="119" xfId="0" applyFill="1" applyBorder="1" applyAlignment="1">
      <alignment horizontal="left" vertical="center" wrapText="1"/>
    </xf>
    <xf numFmtId="0" fontId="0" fillId="3" borderId="80" xfId="0" applyFill="1" applyBorder="1" applyAlignment="1">
      <alignment horizontal="left" vertical="center" wrapText="1"/>
    </xf>
    <xf numFmtId="0" fontId="0" fillId="3" borderId="10" xfId="0" quotePrefix="1" applyFill="1" applyBorder="1" applyAlignment="1">
      <alignment horizontal="left" vertical="center" wrapText="1"/>
    </xf>
    <xf numFmtId="0" fontId="0" fillId="3" borderId="156" xfId="0" applyFill="1" applyBorder="1" applyAlignment="1">
      <alignment horizontal="left" vertical="top" wrapText="1"/>
    </xf>
    <xf numFmtId="0" fontId="0" fillId="3" borderId="110" xfId="0" applyFill="1" applyBorder="1" applyAlignment="1">
      <alignment wrapText="1"/>
    </xf>
    <xf numFmtId="0" fontId="0" fillId="3" borderId="157" xfId="0" applyFill="1" applyBorder="1" applyAlignment="1">
      <alignment wrapText="1"/>
    </xf>
    <xf numFmtId="0" fontId="0" fillId="3" borderId="0" xfId="0" applyFill="1" applyAlignment="1">
      <alignment horizontal="left" vertical="top" indent="1"/>
    </xf>
    <xf numFmtId="0" fontId="8" fillId="3" borderId="0" xfId="0" applyFont="1" applyFill="1" applyAlignment="1">
      <alignment horizontal="left" vertical="top" wrapText="1"/>
    </xf>
    <xf numFmtId="0" fontId="0" fillId="3" borderId="0" xfId="0" applyFont="1" applyFill="1" applyAlignment="1">
      <alignment horizontal="left" vertical="top" wrapText="1"/>
    </xf>
    <xf numFmtId="0" fontId="0" fillId="3" borderId="0" xfId="0" applyFill="1" applyAlignment="1">
      <alignment horizontal="left" vertical="top"/>
    </xf>
    <xf numFmtId="0" fontId="10" fillId="51" borderId="6" xfId="85" applyFont="1" applyFill="1" applyBorder="1" applyAlignment="1" applyProtection="1">
      <alignment horizontal="left"/>
      <protection locked="0"/>
    </xf>
    <xf numFmtId="0" fontId="0" fillId="0" borderId="6" xfId="0" applyBorder="1" applyAlignment="1">
      <alignment horizontal="left"/>
    </xf>
    <xf numFmtId="0" fontId="10" fillId="51" borderId="83" xfId="85" applyFont="1" applyFill="1" applyBorder="1" applyAlignment="1" applyProtection="1">
      <alignment horizontal="left"/>
      <protection locked="0"/>
    </xf>
    <xf numFmtId="0" fontId="7" fillId="0" borderId="160" xfId="75" applyBorder="1" applyAlignment="1">
      <alignment horizontal="left"/>
    </xf>
    <xf numFmtId="0" fontId="7" fillId="0" borderId="84" xfId="75" applyBorder="1" applyAlignment="1">
      <alignment horizontal="left"/>
    </xf>
    <xf numFmtId="167" fontId="7" fillId="51" borderId="6" xfId="48239" applyFill="1" applyBorder="1" applyAlignment="1">
      <alignment horizontal="left"/>
      <protection locked="0"/>
    </xf>
    <xf numFmtId="0" fontId="10" fillId="51" borderId="6" xfId="85" applyFont="1" applyFill="1" applyBorder="1" applyAlignment="1" applyProtection="1">
      <alignment horizontal="left" indent="1"/>
      <protection locked="0"/>
    </xf>
    <xf numFmtId="0" fontId="10" fillId="0" borderId="6" xfId="85" applyFont="1" applyBorder="1" applyAlignment="1">
      <alignment horizontal="left" vertical="center" wrapText="1"/>
    </xf>
    <xf numFmtId="0" fontId="10" fillId="51" borderId="114" xfId="85" applyFont="1" applyFill="1" applyBorder="1" applyAlignment="1" applyProtection="1">
      <alignment horizontal="center"/>
      <protection locked="0"/>
    </xf>
    <xf numFmtId="0" fontId="10" fillId="51" borderId="28" xfId="85" applyFont="1" applyFill="1" applyBorder="1" applyAlignment="1" applyProtection="1">
      <alignment horizontal="center"/>
      <protection locked="0"/>
    </xf>
    <xf numFmtId="0" fontId="10" fillId="51" borderId="117" xfId="85" applyFont="1" applyFill="1" applyBorder="1" applyAlignment="1" applyProtection="1">
      <alignment horizontal="center"/>
      <protection locked="0"/>
    </xf>
    <xf numFmtId="0" fontId="10" fillId="51" borderId="6" xfId="85" applyFont="1" applyFill="1" applyBorder="1" applyAlignment="1" applyProtection="1">
      <alignment horizontal="center"/>
      <protection locked="0"/>
    </xf>
    <xf numFmtId="0" fontId="10" fillId="0" borderId="114" xfId="85" applyFont="1" applyBorder="1" applyAlignment="1">
      <alignment horizontal="left"/>
    </xf>
    <xf numFmtId="0" fontId="10" fillId="0" borderId="28" xfId="85" applyFont="1" applyBorder="1" applyAlignment="1">
      <alignment horizontal="left"/>
    </xf>
    <xf numFmtId="0" fontId="10" fillId="0" borderId="117" xfId="85" applyFont="1" applyBorder="1" applyAlignment="1">
      <alignment horizontal="left"/>
    </xf>
    <xf numFmtId="0" fontId="10" fillId="0" borderId="0" xfId="85" applyFont="1" applyAlignment="1">
      <alignment horizontal="center"/>
    </xf>
    <xf numFmtId="0" fontId="10" fillId="0" borderId="0" xfId="84" applyFont="1" applyAlignment="1"/>
    <xf numFmtId="0" fontId="10" fillId="0" borderId="155" xfId="85" applyFont="1" applyBorder="1" applyAlignment="1">
      <alignment horizontal="center" vertical="center"/>
    </xf>
    <xf numFmtId="0" fontId="10" fillId="0" borderId="100" xfId="85" applyFont="1" applyBorder="1" applyAlignment="1">
      <alignment horizontal="center" vertical="center"/>
    </xf>
    <xf numFmtId="0" fontId="10" fillId="0" borderId="156" xfId="85" applyFont="1" applyBorder="1" applyAlignment="1">
      <alignment horizontal="left" vertical="center" indent="1"/>
    </xf>
    <xf numFmtId="0" fontId="10" fillId="0" borderId="21" xfId="85" applyFont="1" applyBorder="1" applyAlignment="1">
      <alignment horizontal="left" vertical="center" indent="1"/>
    </xf>
    <xf numFmtId="0" fontId="10" fillId="0" borderId="157" xfId="85" applyFont="1" applyBorder="1" applyAlignment="1">
      <alignment horizontal="left" vertical="center" indent="1"/>
    </xf>
    <xf numFmtId="0" fontId="10" fillId="0" borderId="79" xfId="85" applyFont="1" applyBorder="1" applyAlignment="1">
      <alignment horizontal="left" vertical="center" indent="1"/>
    </xf>
    <xf numFmtId="0" fontId="10" fillId="0" borderId="119" xfId="85" applyFont="1" applyBorder="1" applyAlignment="1">
      <alignment horizontal="left" vertical="center" indent="1"/>
    </xf>
    <xf numFmtId="0" fontId="10" fillId="0" borderId="80" xfId="85" applyFont="1" applyBorder="1" applyAlignment="1">
      <alignment horizontal="left" vertical="center" indent="1"/>
    </xf>
    <xf numFmtId="0" fontId="10" fillId="0" borderId="6" xfId="85" applyFont="1" applyBorder="1" applyAlignment="1">
      <alignment horizontal="center" vertical="center"/>
    </xf>
    <xf numFmtId="0" fontId="10" fillId="0" borderId="6" xfId="85" applyFont="1" applyBorder="1" applyAlignment="1">
      <alignment horizontal="left" vertical="center" indent="1"/>
    </xf>
    <xf numFmtId="175" fontId="10" fillId="44" borderId="6" xfId="85" applyNumberFormat="1" applyFont="1" applyFill="1" applyBorder="1" applyAlignment="1">
      <alignment horizontal="center"/>
    </xf>
    <xf numFmtId="175" fontId="10" fillId="44" borderId="114" xfId="85" applyNumberFormat="1" applyFont="1" applyFill="1" applyBorder="1" applyAlignment="1">
      <alignment horizontal="center"/>
    </xf>
    <xf numFmtId="175" fontId="10" fillId="44" borderId="28" xfId="85" applyNumberFormat="1" applyFont="1" applyFill="1" applyBorder="1" applyAlignment="1">
      <alignment horizontal="center"/>
    </xf>
    <xf numFmtId="175" fontId="10" fillId="44" borderId="117" xfId="85" applyNumberFormat="1" applyFont="1" applyFill="1" applyBorder="1" applyAlignment="1">
      <alignment horizontal="center"/>
    </xf>
    <xf numFmtId="0" fontId="7" fillId="42" borderId="6" xfId="78" applyFont="1" applyFill="1" applyBorder="1" applyAlignment="1" applyProtection="1">
      <alignment horizontal="center" vertical="center"/>
      <protection locked="0"/>
    </xf>
    <xf numFmtId="0" fontId="7" fillId="0" borderId="6" xfId="78" applyFont="1" applyBorder="1" applyAlignment="1" applyProtection="1">
      <alignment horizontal="center" vertical="center"/>
      <protection locked="0"/>
    </xf>
    <xf numFmtId="0" fontId="10" fillId="3" borderId="6" xfId="85" applyFont="1" applyFill="1" applyBorder="1" applyAlignment="1" applyProtection="1">
      <alignment horizontal="left"/>
      <protection locked="0"/>
    </xf>
    <xf numFmtId="167" fontId="7" fillId="3" borderId="6" xfId="48239" applyBorder="1" applyAlignment="1">
      <alignment horizontal="left" vertical="center"/>
      <protection locked="0"/>
    </xf>
    <xf numFmtId="0" fontId="10" fillId="0" borderId="6" xfId="85" applyFont="1" applyBorder="1" applyAlignment="1">
      <alignment horizontal="center" vertical="center" wrapText="1"/>
    </xf>
    <xf numFmtId="0" fontId="10" fillId="3" borderId="6" xfId="85" applyFont="1" applyFill="1" applyBorder="1" applyAlignment="1" applyProtection="1">
      <alignment horizontal="left" indent="1"/>
      <protection locked="0"/>
    </xf>
    <xf numFmtId="0" fontId="11" fillId="0" borderId="6" xfId="85" applyFont="1" applyBorder="1" applyAlignment="1">
      <alignment horizontal="left"/>
    </xf>
    <xf numFmtId="0" fontId="10" fillId="0" borderId="6" xfId="85" applyFont="1" applyBorder="1" applyAlignment="1">
      <alignment horizontal="left" vertical="center" wrapText="1" indent="1"/>
    </xf>
    <xf numFmtId="14" fontId="10" fillId="3" borderId="6" xfId="85" applyNumberFormat="1" applyFont="1" applyFill="1" applyBorder="1" applyAlignment="1" applyProtection="1">
      <alignment horizontal="left" indent="1"/>
      <protection locked="0"/>
    </xf>
    <xf numFmtId="0" fontId="10" fillId="3" borderId="6" xfId="85" applyFont="1" applyFill="1" applyBorder="1" applyAlignment="1" applyProtection="1">
      <alignment horizontal="left" vertical="top" wrapText="1" indent="1"/>
      <protection locked="0"/>
    </xf>
    <xf numFmtId="0" fontId="11" fillId="0" borderId="6" xfId="85" applyFont="1" applyBorder="1" applyAlignment="1">
      <alignment horizontal="left" indent="1"/>
    </xf>
    <xf numFmtId="168" fontId="10" fillId="3" borderId="6" xfId="0" applyNumberFormat="1" applyFont="1" applyFill="1" applyBorder="1" applyAlignment="1">
      <alignment horizontal="left" vertical="center" indent="1"/>
    </xf>
    <xf numFmtId="0" fontId="11" fillId="0" borderId="85" xfId="85" applyFont="1" applyBorder="1" applyAlignment="1">
      <alignment horizontal="left"/>
    </xf>
    <xf numFmtId="0" fontId="11" fillId="0" borderId="75" xfId="85" applyFont="1" applyBorder="1" applyAlignment="1">
      <alignment horizontal="left"/>
    </xf>
    <xf numFmtId="0" fontId="11" fillId="0" borderId="86" xfId="85" applyFont="1" applyBorder="1" applyAlignment="1">
      <alignment horizontal="left"/>
    </xf>
    <xf numFmtId="0" fontId="10" fillId="0" borderId="119" xfId="85" applyFont="1" applyBorder="1" applyAlignment="1">
      <alignment horizontal="left" vertical="center" wrapText="1"/>
    </xf>
    <xf numFmtId="0" fontId="10" fillId="0" borderId="0" xfId="85" applyFont="1" applyAlignment="1">
      <alignment horizontal="left" vertical="center" wrapText="1"/>
    </xf>
    <xf numFmtId="0" fontId="11" fillId="0" borderId="0" xfId="85" applyFont="1" applyAlignment="1">
      <alignment horizontal="left" vertical="center" wrapText="1"/>
    </xf>
    <xf numFmtId="0" fontId="10" fillId="0" borderId="0" xfId="85" applyFont="1"/>
    <xf numFmtId="0" fontId="248" fillId="116" borderId="0" xfId="0" applyFont="1" applyFill="1" applyAlignment="1">
      <alignment horizontal="left" vertical="top" wrapText="1"/>
    </xf>
    <xf numFmtId="173" fontId="2" fillId="0" borderId="6" xfId="51695" applyNumberFormat="1" applyBorder="1" applyAlignment="1">
      <alignment horizontal="left"/>
    </xf>
    <xf numFmtId="0" fontId="289" fillId="0" borderId="10" xfId="51695" applyFont="1" applyBorder="1" applyAlignment="1">
      <alignment horizontal="left"/>
    </xf>
    <xf numFmtId="0" fontId="289" fillId="0" borderId="11" xfId="51695" applyFont="1" applyBorder="1" applyAlignment="1">
      <alignment horizontal="left"/>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90" fillId="0" borderId="79" xfId="51695" applyFont="1" applyBorder="1" applyAlignment="1">
      <alignment horizontal="left" vertical="center"/>
    </xf>
    <xf numFmtId="0" fontId="290" fillId="0" borderId="80" xfId="51695" applyFont="1" applyBorder="1" applyAlignment="1">
      <alignment horizontal="left" vertical="center"/>
    </xf>
    <xf numFmtId="0" fontId="2" fillId="0" borderId="10" xfId="51695" applyBorder="1" applyAlignment="1">
      <alignment horizontal="center"/>
    </xf>
    <xf numFmtId="0" fontId="2" fillId="0" borderId="11" xfId="51695" applyBorder="1" applyAlignment="1">
      <alignment horizontal="center"/>
    </xf>
    <xf numFmtId="0" fontId="287" fillId="52" borderId="114" xfId="51695" applyFont="1" applyFill="1" applyBorder="1" applyAlignment="1">
      <alignment horizontal="left" vertical="center"/>
    </xf>
    <xf numFmtId="0" fontId="287" fillId="52" borderId="117" xfId="51695" applyFont="1" applyFill="1" applyBorder="1" applyAlignment="1">
      <alignment horizontal="left" vertical="center"/>
    </xf>
    <xf numFmtId="0" fontId="287" fillId="137" borderId="155" xfId="51695" applyFont="1" applyFill="1" applyBorder="1" applyAlignment="1">
      <alignment horizontal="center" vertical="center" wrapText="1"/>
    </xf>
    <xf numFmtId="0" fontId="287" fillId="137" borderId="100" xfId="51695" applyFont="1" applyFill="1" applyBorder="1" applyAlignment="1">
      <alignment horizontal="center" vertical="center" wrapText="1"/>
    </xf>
    <xf numFmtId="0" fontId="2" fillId="0" borderId="114" xfId="51695" applyBorder="1" applyAlignment="1">
      <alignment horizontal="left"/>
    </xf>
    <xf numFmtId="0" fontId="2" fillId="0" borderId="117" xfId="51695" applyBorder="1" applyAlignment="1">
      <alignment horizontal="left"/>
    </xf>
    <xf numFmtId="0" fontId="248" fillId="116" borderId="119" xfId="0" applyFont="1" applyFill="1" applyBorder="1" applyAlignment="1">
      <alignment horizontal="left" vertical="top" wrapText="1"/>
    </xf>
    <xf numFmtId="0" fontId="287" fillId="137" borderId="21" xfId="51695" applyFont="1" applyFill="1" applyBorder="1" applyAlignment="1">
      <alignment horizontal="center" vertical="center" wrapText="1"/>
    </xf>
    <xf numFmtId="0" fontId="287" fillId="137" borderId="157" xfId="51695" applyFont="1" applyFill="1" applyBorder="1" applyAlignment="1">
      <alignment horizontal="center" vertical="center" wrapText="1"/>
    </xf>
    <xf numFmtId="0" fontId="287" fillId="137" borderId="119" xfId="51695" applyFont="1" applyFill="1" applyBorder="1" applyAlignment="1">
      <alignment horizontal="center" vertical="center" wrapText="1"/>
    </xf>
    <xf numFmtId="0" fontId="287" fillId="137" borderId="80" xfId="51695" applyFont="1" applyFill="1" applyBorder="1" applyAlignment="1">
      <alignment horizontal="center" vertical="center" wrapText="1"/>
    </xf>
    <xf numFmtId="0" fontId="289" fillId="137" borderId="155" xfId="51695" applyFont="1" applyFill="1" applyBorder="1" applyAlignment="1">
      <alignment horizontal="center" vertical="center" wrapText="1"/>
    </xf>
    <xf numFmtId="0" fontId="289" fillId="137" borderId="100" xfId="51695" applyFont="1" applyFill="1" applyBorder="1" applyAlignment="1">
      <alignment horizontal="center" vertical="center" wrapText="1"/>
    </xf>
    <xf numFmtId="0" fontId="0" fillId="136" borderId="6" xfId="0" applyFill="1" applyBorder="1" applyAlignment="1">
      <alignment horizontal="center" vertical="center"/>
    </xf>
    <xf numFmtId="0" fontId="0" fillId="3" borderId="79" xfId="0" applyFill="1" applyBorder="1" applyAlignment="1">
      <alignment horizontal="left" vertical="center" wrapText="1"/>
    </xf>
    <xf numFmtId="0" fontId="0" fillId="53" borderId="6" xfId="0" applyFill="1" applyBorder="1" applyAlignment="1">
      <alignment horizontal="center" vertical="center" wrapText="1"/>
    </xf>
  </cellXfs>
  <cellStyles count="51697">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71" xfId="51689" xr:uid="{D88C049C-0ABF-4963-A188-FC0A6DC5C5F8}"/>
    <cellStyle name="Normal 72" xfId="51691" xr:uid="{78AE7F22-65C0-4960-860E-692289CD99BD}"/>
    <cellStyle name="Normal 73" xfId="51693" xr:uid="{6DF7956B-B673-4C54-8158-D8A9E57FE5A2}"/>
    <cellStyle name="Normal 73 2" xfId="51695" xr:uid="{E3D39CB5-B8FD-4775-8F5F-0126836666F3}"/>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16" xfId="51690" xr:uid="{A5ABCC90-F860-4D7D-893B-9C9C2F1A77B2}"/>
    <cellStyle name="Percent 17" xfId="51692" xr:uid="{7E2A4EBC-EDAF-455C-99E2-6E0AFECBF748}"/>
    <cellStyle name="Percent 18" xfId="51694" xr:uid="{30F21A05-C29D-4306-B467-A48BF6254259}"/>
    <cellStyle name="Percent 18 2" xfId="51696" xr:uid="{C980D258-6AFD-4FF7-A41C-BE019F8D96C3}"/>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105">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border>
        <right style="thin">
          <color auto="1"/>
        </right>
        <vertical/>
        <horizontal/>
      </border>
    </dxf>
    <dxf>
      <fill>
        <patternFill patternType="darkUp">
          <fgColor rgb="FFC0C0C0"/>
        </patternFill>
      </fill>
    </dxf>
    <dxf>
      <border>
        <right style="thin">
          <color auto="1"/>
        </right>
        <vertical/>
        <horizontal/>
      </border>
    </dxf>
    <dxf>
      <fill>
        <patternFill patternType="darkUp">
          <fgColor rgb="FFC0C0C0"/>
        </patternFill>
      </fill>
    </dxf>
    <dxf>
      <border>
        <right style="thin">
          <color auto="1"/>
        </right>
        <vertical/>
        <horizontal/>
      </border>
    </dxf>
    <dxf>
      <fill>
        <patternFill patternType="lightUp"/>
      </fill>
    </dxf>
    <dxf>
      <fill>
        <patternFill patternType="lightUp"/>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ont>
        <color auto="1"/>
      </font>
      <fill>
        <patternFill>
          <bgColor theme="5" tint="0.59996337778862885"/>
        </patternFill>
      </fill>
    </dxf>
    <dxf>
      <fill>
        <patternFill patternType="lightDown"/>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lightDown"/>
      </fill>
    </dxf>
    <dxf>
      <fill>
        <patternFill patternType="darkUp">
          <fgColor rgb="FFC0C0C0"/>
        </patternFill>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lightDown"/>
      </fill>
    </dxf>
    <dxf>
      <fill>
        <patternFill patternType="darkUp">
          <fgColor rgb="FFC0C0C0"/>
        </patternFill>
      </fill>
    </dxf>
    <dxf>
      <fill>
        <patternFill patternType="lightDown"/>
      </fill>
    </dxf>
    <dxf>
      <fill>
        <patternFill patternType="lightDown"/>
      </fill>
    </dxf>
    <dxf>
      <fill>
        <patternFill patternType="lightDown"/>
      </fill>
    </dxf>
    <dxf>
      <fill>
        <patternFill patternType="darkUp">
          <fgColor rgb="FFC0C0C0"/>
        </patternFill>
      </fill>
    </dxf>
    <dxf>
      <fill>
        <patternFill patternType="lightDown"/>
      </fill>
    </dxf>
    <dxf>
      <fill>
        <patternFill patternType="darkUp">
          <fgColor rgb="FFC0C0C0"/>
        </patternFill>
      </fill>
    </dxf>
    <dxf>
      <fill>
        <patternFill patternType="lightDown"/>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FFFFCC"/>
      <color rgb="FFCCECFF"/>
      <color rgb="FFCCFFCC"/>
      <color rgb="FFFFFF99"/>
      <color rgb="FFFFFFAB"/>
      <color rgb="FFFFCC99"/>
      <color rgb="FF99CCFF"/>
      <color rgb="FFFFF4D1"/>
      <color rgb="FFCC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2059781</xdr:colOff>
      <xdr:row>1</xdr:row>
      <xdr:rowOff>158</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02719" cy="702468"/>
        </a:xfrm>
        <a:prstGeom prst="rect">
          <a:avLst/>
        </a:prstGeom>
      </xdr:spPr>
    </xdr:pic>
    <xdr:clientData/>
  </xdr:twoCellAnchor>
  <xdr:twoCellAnchor editAs="oneCell">
    <xdr:from>
      <xdr:col>0</xdr:col>
      <xdr:colOff>1</xdr:colOff>
      <xdr:row>0</xdr:row>
      <xdr:rowOff>0</xdr:rowOff>
    </xdr:from>
    <xdr:to>
      <xdr:col>1</xdr:col>
      <xdr:colOff>2200560</xdr:colOff>
      <xdr:row>1</xdr:row>
      <xdr:rowOff>2184</xdr:rowOff>
    </xdr:to>
    <xdr:pic>
      <xdr:nvPicPr>
        <xdr:cNvPr id="3" name="Picture 2" descr="image of the Ofgem logo" title="Ofgem logo">
          <a:extLst>
            <a:ext uri="{FF2B5EF4-FFF2-40B4-BE49-F238E27FC236}">
              <a16:creationId xmlns:a16="http://schemas.microsoft.com/office/drawing/2014/main" id="{7CD0105B-F760-41D4-B21D-550F978E81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twoCellAnchor editAs="oneCell">
    <xdr:from>
      <xdr:col>5</xdr:col>
      <xdr:colOff>179140</xdr:colOff>
      <xdr:row>0</xdr:row>
      <xdr:rowOff>183509</xdr:rowOff>
    </xdr:from>
    <xdr:to>
      <xdr:col>5</xdr:col>
      <xdr:colOff>1058487</xdr:colOff>
      <xdr:row>0</xdr:row>
      <xdr:rowOff>564509</xdr:rowOff>
    </xdr:to>
    <xdr:pic>
      <xdr:nvPicPr>
        <xdr:cNvPr id="4" name="Picture 3" title="white box">
          <a:extLst>
            <a:ext uri="{FF2B5EF4-FFF2-40B4-BE49-F238E27FC236}">
              <a16:creationId xmlns:a16="http://schemas.microsoft.com/office/drawing/2014/main" id="{BCB364B1-7D82-4753-9837-81D27AAF6E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08140" y="183509"/>
          <a:ext cx="865377"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xdr:row>
      <xdr:rowOff>0</xdr:rowOff>
    </xdr:from>
    <xdr:to>
      <xdr:col>4</xdr:col>
      <xdr:colOff>809625</xdr:colOff>
      <xdr:row>3</xdr:row>
      <xdr:rowOff>25401</xdr:rowOff>
    </xdr:to>
    <xdr:sp macro="" textlink="">
      <xdr:nvSpPr>
        <xdr:cNvPr id="2" name="Rounded Rectangle 2">
          <a:hlinkClick xmlns:r="http://schemas.openxmlformats.org/officeDocument/2006/relationships" r:id="rId1"/>
          <a:extLst>
            <a:ext uri="{FF2B5EF4-FFF2-40B4-BE49-F238E27FC236}">
              <a16:creationId xmlns:a16="http://schemas.microsoft.com/office/drawing/2014/main" id="{6488A38D-FE22-47D2-905B-E14089489FE9}"/>
            </a:ext>
          </a:extLst>
        </xdr:cNvPr>
        <xdr:cNvSpPr/>
      </xdr:nvSpPr>
      <xdr:spPr>
        <a:xfrm>
          <a:off x="10239375" y="514350"/>
          <a:ext cx="80645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oneCellAnchor>
    <xdr:from>
      <xdr:col>9</xdr:col>
      <xdr:colOff>350488</xdr:colOff>
      <xdr:row>9</xdr:row>
      <xdr:rowOff>122237</xdr:rowOff>
    </xdr:from>
    <xdr:ext cx="1825180" cy="172227"/>
    <xdr:sp macro="" textlink="">
      <xdr:nvSpPr>
        <xdr:cNvPr id="4" name="TextBox 3">
          <a:extLst>
            <a:ext uri="{FF2B5EF4-FFF2-40B4-BE49-F238E27FC236}">
              <a16:creationId xmlns:a16="http://schemas.microsoft.com/office/drawing/2014/main" id="{94E15318-620C-4C64-861B-F4D04D9D60CE}"/>
            </a:ext>
          </a:extLst>
        </xdr:cNvPr>
        <xdr:cNvSpPr txBox="1"/>
      </xdr:nvSpPr>
      <xdr:spPr>
        <a:xfrm flipH="1">
          <a:off x="14399863" y="1777206"/>
          <a:ext cx="182518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GB" sz="1100"/>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x%20Reconciliation/Copy%20of%20RFPR%20draft%20template.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R cover"/>
      <sheetName val="Data"/>
      <sheetName val="Content &amp; Version Control"/>
      <sheetName val="R1 - RoRE"/>
      <sheetName val="Change log"/>
      <sheetName val="R2 - Rec to Revenue and Profit"/>
      <sheetName val="R3 - Totex - Reconciliation"/>
      <sheetName val="R4 - Incentives and Other Rev"/>
      <sheetName val="R5 - Financing"/>
      <sheetName val="R5a - Financing input"/>
      <sheetName val="R6 - Net Debt"/>
      <sheetName val="R6a - Net Debt input"/>
      <sheetName val="R7 - RAV"/>
      <sheetName val="R8 - Tax"/>
      <sheetName val="R9 - Corporate Governance"/>
      <sheetName val="R10 - Pensions &amp; Oth Activ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7"/>
  <sheetViews>
    <sheetView showGridLines="0" tabSelected="1" zoomScale="80" zoomScaleNormal="80" zoomScaleSheetLayoutView="90" workbookViewId="0">
      <selection activeCell="D15" sqref="D15"/>
    </sheetView>
  </sheetViews>
  <sheetFormatPr defaultRowHeight="13.5"/>
  <cols>
    <col min="1" max="1" width="8.3828125" customWidth="1"/>
    <col min="2" max="2" width="41.4609375" customWidth="1"/>
    <col min="3" max="6" width="14.15234375" customWidth="1"/>
    <col min="7" max="7" width="14.15234375" style="52" customWidth="1"/>
    <col min="8" max="11" width="14.15234375" customWidth="1"/>
  </cols>
  <sheetData>
    <row r="1" spans="1:11" s="987" customFormat="1" ht="56.9" customHeight="1"/>
    <row r="2" spans="1:11" ht="20">
      <c r="A2" s="290" t="s">
        <v>0</v>
      </c>
      <c r="B2" s="291"/>
      <c r="C2" s="291"/>
      <c r="D2" s="292"/>
      <c r="E2" s="293"/>
      <c r="F2" s="291"/>
      <c r="G2" s="294"/>
      <c r="H2" s="291"/>
      <c r="I2" s="291"/>
      <c r="J2" s="291"/>
      <c r="K2" s="291"/>
    </row>
    <row r="3" spans="1:11" ht="20">
      <c r="A3" s="290" t="str">
        <f>Licensee</f>
        <v>NGGT (TO)</v>
      </c>
      <c r="B3" s="291"/>
      <c r="C3" s="291"/>
      <c r="D3" s="293"/>
      <c r="E3" s="293"/>
      <c r="F3" s="291"/>
      <c r="G3" s="294"/>
      <c r="H3" s="291"/>
      <c r="I3" s="291"/>
      <c r="J3" s="291"/>
      <c r="K3" s="291"/>
    </row>
    <row r="4" spans="1:11" ht="20">
      <c r="A4" s="290" t="s">
        <v>1</v>
      </c>
      <c r="B4" s="291"/>
      <c r="C4" s="291"/>
      <c r="D4" s="293"/>
      <c r="E4" s="293"/>
      <c r="F4" s="291"/>
      <c r="G4" s="294"/>
      <c r="H4" s="291"/>
      <c r="I4" s="291"/>
      <c r="J4" s="291"/>
      <c r="K4" s="291"/>
    </row>
    <row r="5" spans="1:11" ht="20">
      <c r="A5" s="414"/>
      <c r="B5" s="415"/>
      <c r="C5" s="415"/>
      <c r="D5" s="416"/>
      <c r="E5" s="416"/>
      <c r="F5" s="415"/>
      <c r="G5" s="417"/>
      <c r="H5" s="415"/>
      <c r="I5" s="415"/>
      <c r="J5" s="415"/>
      <c r="K5" s="415"/>
    </row>
    <row r="6" spans="1:11" ht="14">
      <c r="A6" s="16"/>
      <c r="B6" s="492" t="s">
        <v>2</v>
      </c>
      <c r="C6" s="493">
        <v>2022</v>
      </c>
      <c r="D6" s="16"/>
      <c r="E6" s="16"/>
      <c r="H6" s="4"/>
      <c r="I6" s="4"/>
      <c r="J6" s="4"/>
    </row>
    <row r="7" spans="1:11" ht="13.5" customHeight="1">
      <c r="A7" s="16"/>
      <c r="B7" s="492" t="s">
        <v>3</v>
      </c>
      <c r="C7" s="494" t="s">
        <v>84</v>
      </c>
      <c r="D7" s="84"/>
      <c r="E7" s="10"/>
      <c r="F7" s="495"/>
      <c r="G7" s="233" t="s">
        <v>5</v>
      </c>
      <c r="H7" s="4"/>
      <c r="I7" s="4"/>
      <c r="J7" s="4"/>
    </row>
    <row r="8" spans="1:11" ht="13.5" customHeight="1">
      <c r="A8" s="16"/>
      <c r="B8" s="492" t="s">
        <v>6</v>
      </c>
      <c r="C8" s="496" t="str">
        <f>INDEX(Data!$A$55:$A$83,MATCH($C$7,Data!$B$55:$B$83,0),0)&amp;"2"</f>
        <v>GT2</v>
      </c>
      <c r="D8" s="84"/>
      <c r="E8" s="10"/>
      <c r="F8" s="497"/>
      <c r="G8" s="233" t="s">
        <v>7</v>
      </c>
      <c r="H8" s="4"/>
      <c r="I8" s="4"/>
      <c r="J8" s="4"/>
    </row>
    <row r="9" spans="1:11" ht="27">
      <c r="A9" s="16"/>
      <c r="B9" s="498" t="s">
        <v>8</v>
      </c>
      <c r="C9" s="499">
        <v>2022</v>
      </c>
      <c r="D9" s="84"/>
      <c r="E9" s="10"/>
      <c r="F9" s="500"/>
      <c r="G9" s="234" t="s">
        <v>9</v>
      </c>
      <c r="H9" s="4"/>
      <c r="I9" s="4"/>
      <c r="J9" s="4"/>
    </row>
    <row r="10" spans="1:11" ht="14">
      <c r="A10" s="16"/>
      <c r="B10" s="492" t="s">
        <v>10</v>
      </c>
      <c r="C10" s="499">
        <v>1.1000000000000001</v>
      </c>
      <c r="D10" s="10"/>
      <c r="E10" s="9"/>
      <c r="F10" s="501"/>
      <c r="G10" s="233" t="s">
        <v>11</v>
      </c>
      <c r="H10" s="4"/>
      <c r="I10" s="4"/>
      <c r="J10" s="4"/>
    </row>
    <row r="11" spans="1:11" ht="14">
      <c r="A11" s="16"/>
      <c r="B11" s="492" t="s">
        <v>12</v>
      </c>
      <c r="C11" s="502">
        <v>44804</v>
      </c>
      <c r="D11" s="9"/>
      <c r="E11" s="9"/>
      <c r="F11" s="503"/>
      <c r="G11" s="233" t="s">
        <v>13</v>
      </c>
      <c r="H11" s="4"/>
      <c r="I11" s="4"/>
      <c r="J11" s="4"/>
    </row>
    <row r="12" spans="1:11" ht="14">
      <c r="A12" s="16"/>
      <c r="D12" s="9"/>
      <c r="E12" s="9"/>
      <c r="F12" s="504"/>
      <c r="G12" s="233" t="s">
        <v>14</v>
      </c>
      <c r="H12" s="4"/>
      <c r="I12" s="4"/>
      <c r="J12" s="4"/>
    </row>
    <row r="13" spans="1:11" ht="14">
      <c r="A13" s="16"/>
      <c r="D13" s="10"/>
      <c r="E13" s="10"/>
      <c r="F13" s="505"/>
      <c r="G13" s="233" t="s">
        <v>15</v>
      </c>
      <c r="H13" s="4"/>
      <c r="I13" s="4"/>
      <c r="J13" s="4"/>
    </row>
    <row r="14" spans="1:11">
      <c r="A14" s="16"/>
      <c r="D14" s="9"/>
      <c r="E14" s="9"/>
      <c r="F14" s="9"/>
      <c r="G14" s="235"/>
    </row>
    <row r="15" spans="1:11">
      <c r="A15" s="16"/>
      <c r="D15" s="9"/>
      <c r="E15" s="9"/>
    </row>
    <row r="16" spans="1:11">
      <c r="A16" s="16"/>
      <c r="D16" s="9"/>
      <c r="E16" s="9"/>
    </row>
    <row r="17" spans="1:7">
      <c r="A17" s="16"/>
      <c r="B17" s="9"/>
      <c r="C17" s="9"/>
      <c r="D17" s="9"/>
      <c r="E17" s="9"/>
      <c r="F17" s="9"/>
      <c r="G17" s="235"/>
    </row>
    <row r="87" spans="1:1">
      <c r="A87" s="27"/>
    </row>
  </sheetData>
  <sheetProtection algorithmName="SHA-512" hashValue="2MkS1brVy9jCXbr+smLKL9u//mGb9JLtqE/h/iHwTt2hCj+u8G+1hYNplS2SUinb8m14d5m3e7EXCRc5+ZzWxg==" saltValue="GRxMkHkI3giGufGawiLGQQ==" spinCount="100000" sheet="1" objects="1" scenarios="1"/>
  <mergeCells count="1">
    <mergeCell ref="A1:XFD1"/>
  </mergeCells>
  <pageMargins left="0.70866141732283472" right="0.70866141732283472" top="0.74803149606299213" bottom="0.74803149606299213" header="0.31496062992125984" footer="0.31496062992125984"/>
  <pageSetup scale="45" orientation="portrait" r:id="rId1"/>
  <headerFooter>
    <oddFooter>&amp;C_x000D_&amp;1#&amp;"Calibri"&amp;10&amp;K000000 OFFICIAL-InternalOnly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Data!$F$15:$L$15</xm:f>
          </x14:formula1>
          <xm:sqref>C9</xm:sqref>
        </x14:dataValidation>
        <x14:dataValidation type="list" allowBlank="1" showInputMessage="1" showErrorMessage="1" xr:uid="{00000000-0002-0000-0000-000001000000}">
          <x14:formula1>
            <xm:f>Data!$B$55:$B$83</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CC"/>
  </sheetPr>
  <dimension ref="A1:XES677"/>
  <sheetViews>
    <sheetView showGridLines="0" zoomScale="85" zoomScaleNormal="85" zoomScaleSheetLayoutView="70" workbookViewId="0">
      <pane ySplit="9" topLeftCell="A10" activePane="bottomLeft" state="frozen"/>
      <selection activeCell="B9" sqref="B9"/>
      <selection pane="bottomLeft"/>
    </sheetView>
  </sheetViews>
  <sheetFormatPr defaultColWidth="0" defaultRowHeight="13.5" outlineLevelRow="1" outlineLevelCol="1"/>
  <cols>
    <col min="1" max="1" width="9.3828125" style="99" customWidth="1"/>
    <col min="2" max="2" width="6.61328125" style="99" customWidth="1"/>
    <col min="3" max="3" width="13.15234375" style="99" customWidth="1"/>
    <col min="4" max="4" width="16.3828125" style="99" customWidth="1"/>
    <col min="5" max="5" width="17.15234375" style="99" customWidth="1"/>
    <col min="6" max="6" width="16.61328125" style="99" customWidth="1"/>
    <col min="7" max="7" width="16.4609375" style="99" customWidth="1"/>
    <col min="8" max="8" width="15.765625" style="99" customWidth="1"/>
    <col min="9" max="9" width="14.765625" style="99" customWidth="1"/>
    <col min="10" max="11" width="2.84375" style="99" customWidth="1"/>
    <col min="12" max="12" width="9.15234375" style="99" customWidth="1"/>
    <col min="13" max="20" width="10.84375" style="99" customWidth="1" outlineLevel="1"/>
    <col min="21" max="21" width="10.84375" style="99" customWidth="1"/>
    <col min="22" max="22" width="10.84375" style="99" customWidth="1" outlineLevel="1"/>
    <col min="23" max="23" width="5" style="99" customWidth="1"/>
    <col min="24" max="16373" width="0" style="99" hidden="1"/>
    <col min="16374" max="16384" width="9.15234375" style="99" hidden="1"/>
  </cols>
  <sheetData>
    <row r="1" spans="1:34" customFormat="1" ht="20">
      <c r="A1" s="677" t="s">
        <v>178</v>
      </c>
      <c r="B1" s="381"/>
      <c r="C1" s="381"/>
      <c r="D1" s="382"/>
      <c r="E1" s="382"/>
      <c r="F1" s="382"/>
      <c r="G1" s="382"/>
      <c r="H1" s="390"/>
      <c r="I1" s="390"/>
      <c r="J1" s="383"/>
      <c r="K1" s="383"/>
      <c r="L1" s="383"/>
      <c r="M1" s="383"/>
      <c r="N1" s="383"/>
      <c r="O1" s="383"/>
      <c r="P1" s="383"/>
      <c r="Q1" s="383"/>
      <c r="R1" s="383"/>
      <c r="S1" s="383"/>
      <c r="T1" s="383"/>
      <c r="U1" s="383"/>
      <c r="V1" s="383"/>
      <c r="W1" s="684"/>
    </row>
    <row r="2" spans="1:34" customFormat="1" ht="20">
      <c r="A2" s="295" t="str">
        <f>Licensee</f>
        <v>NGGT (TO)</v>
      </c>
      <c r="B2" s="290"/>
      <c r="C2" s="290"/>
      <c r="D2" s="15"/>
      <c r="E2" s="15"/>
      <c r="F2" s="15"/>
      <c r="G2" s="15"/>
      <c r="H2" s="14"/>
      <c r="I2" s="14"/>
      <c r="J2" s="14"/>
      <c r="K2" s="14"/>
      <c r="L2" s="14"/>
      <c r="M2" s="14"/>
      <c r="N2" s="14"/>
      <c r="O2" s="14"/>
      <c r="P2" s="14"/>
      <c r="Q2" s="14"/>
      <c r="R2" s="14"/>
      <c r="S2" s="14"/>
      <c r="T2" s="14"/>
      <c r="U2" s="14"/>
      <c r="V2" s="14"/>
      <c r="W2" s="38"/>
    </row>
    <row r="3" spans="1:34" customFormat="1" ht="20">
      <c r="A3" s="534">
        <f>Reporting_Year</f>
        <v>2022</v>
      </c>
      <c r="B3" s="533" t="str">
        <f>'R5 - Financing'!B3</f>
        <v/>
      </c>
      <c r="C3" s="530"/>
      <c r="D3" s="530"/>
      <c r="E3" s="530"/>
      <c r="F3" s="530"/>
      <c r="G3" s="524"/>
      <c r="H3" s="525"/>
      <c r="I3" s="525"/>
      <c r="J3" s="525"/>
      <c r="K3" s="525"/>
      <c r="L3" s="525"/>
      <c r="M3" s="525"/>
      <c r="N3" s="525"/>
      <c r="O3" s="525"/>
      <c r="P3" s="525"/>
      <c r="Q3" s="525"/>
      <c r="R3" s="525"/>
      <c r="S3" s="525"/>
      <c r="T3" s="525"/>
      <c r="U3" s="525"/>
      <c r="V3" s="525"/>
      <c r="W3" s="68"/>
    </row>
    <row r="4" spans="1:34" s="89" customFormat="1" ht="16">
      <c r="A4" s="87"/>
      <c r="B4" s="94" t="s">
        <v>389</v>
      </c>
      <c r="C4" s="405"/>
      <c r="D4" s="406"/>
      <c r="E4" s="407"/>
      <c r="F4" s="407"/>
      <c r="G4" s="407"/>
      <c r="H4" s="407"/>
      <c r="I4" s="407"/>
      <c r="J4" s="407"/>
      <c r="K4" s="407"/>
      <c r="L4" s="408"/>
      <c r="M4" s="408"/>
      <c r="N4" s="408"/>
      <c r="O4" s="408"/>
      <c r="P4" s="408"/>
      <c r="R4" s="91"/>
      <c r="T4" s="92"/>
      <c r="U4" s="92"/>
      <c r="V4" s="92"/>
    </row>
    <row r="5" spans="1:34" s="93" customFormat="1" ht="16">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row>
    <row r="6" spans="1:34" s="93" customFormat="1" ht="16">
      <c r="B6" s="175"/>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row>
    <row r="7" spans="1:34" s="90" customFormat="1" ht="15">
      <c r="A7" s="87"/>
      <c r="B7" s="88" t="s">
        <v>230</v>
      </c>
      <c r="C7" s="89"/>
      <c r="D7" s="87"/>
      <c r="M7" s="1082" t="s">
        <v>390</v>
      </c>
      <c r="N7" s="1082"/>
      <c r="O7" s="1082"/>
      <c r="P7" s="1082"/>
      <c r="Q7" s="1082"/>
      <c r="R7" s="1083" t="s">
        <v>391</v>
      </c>
      <c r="S7" s="1083"/>
      <c r="T7" s="1083"/>
      <c r="U7" s="1083"/>
      <c r="V7" s="1083"/>
    </row>
    <row r="8" spans="1:34" s="89" customFormat="1" ht="15">
      <c r="B8" s="97"/>
      <c r="C8" s="98"/>
      <c r="D8" s="99"/>
      <c r="E8" s="99"/>
      <c r="F8" s="99"/>
      <c r="G8" s="99"/>
      <c r="H8" s="99"/>
      <c r="I8" s="99"/>
      <c r="J8" s="99"/>
      <c r="K8" s="99"/>
      <c r="L8" s="99"/>
      <c r="M8" s="540" t="str">
        <f>IF(M9&lt;='RFPR cover'!$C$9,"Actuals","Forecast")</f>
        <v>Actuals</v>
      </c>
      <c r="N8" s="540" t="str">
        <f>IF(N9&lt;='RFPR cover'!$C$9,"Actuals","Forecast")</f>
        <v>Forecast</v>
      </c>
      <c r="O8" s="540" t="str">
        <f>IF(O9&lt;='RFPR cover'!$C$9,"Actuals","Forecast")</f>
        <v>Forecast</v>
      </c>
      <c r="P8" s="540" t="str">
        <f>IF(P9&lt;='RFPR cover'!$C$9,"Actuals","Forecast")</f>
        <v>Forecast</v>
      </c>
      <c r="Q8" s="540" t="str">
        <f>IF(Q9&lt;='RFPR cover'!$C$9,"Actuals","Forecast")</f>
        <v>Forecast</v>
      </c>
      <c r="R8" s="540" t="str">
        <f>IF(R9&lt;='RFPR cover'!$C$9,"Actuals","Forecast")</f>
        <v>Forecast</v>
      </c>
      <c r="S8" s="540" t="str">
        <f>IF(S9&lt;='RFPR cover'!$C$9,"Actuals","Forecast")</f>
        <v>Forecast</v>
      </c>
      <c r="T8" s="540" t="str">
        <f>IF(T9&lt;='RFPR cover'!$C$9,"Actuals","Forecast")</f>
        <v>Forecast</v>
      </c>
      <c r="U8" s="540" t="str">
        <f>IF(U9&lt;='RFPR cover'!$C$9,"Actuals","Forecast")</f>
        <v>Forecast</v>
      </c>
      <c r="V8" s="540" t="str">
        <f>IF(V9&lt;='RFPR cover'!$C$9,"Actuals","Forecast")</f>
        <v>Forecast</v>
      </c>
    </row>
    <row r="9" spans="1:34" s="89" customFormat="1" ht="15">
      <c r="A9" s="99"/>
      <c r="B9" s="99"/>
      <c r="C9" s="98"/>
      <c r="D9" s="99"/>
      <c r="E9" s="99"/>
      <c r="F9" s="99"/>
      <c r="G9" s="99"/>
      <c r="H9" s="99"/>
      <c r="I9" s="99"/>
      <c r="J9" s="99"/>
      <c r="K9" s="99"/>
      <c r="L9" s="172" t="s">
        <v>392</v>
      </c>
      <c r="M9" s="401">
        <f>'RFPR cover'!$C$6</f>
        <v>2022</v>
      </c>
      <c r="N9" s="401">
        <f>M9+1</f>
        <v>2023</v>
      </c>
      <c r="O9" s="401">
        <f t="shared" ref="O9:T9" si="0">N9+1</f>
        <v>2024</v>
      </c>
      <c r="P9" s="401">
        <f t="shared" si="0"/>
        <v>2025</v>
      </c>
      <c r="Q9" s="401">
        <f t="shared" si="0"/>
        <v>2026</v>
      </c>
      <c r="R9" s="401">
        <f t="shared" si="0"/>
        <v>2027</v>
      </c>
      <c r="S9" s="401">
        <f t="shared" si="0"/>
        <v>2028</v>
      </c>
      <c r="T9" s="401">
        <f t="shared" si="0"/>
        <v>2029</v>
      </c>
      <c r="U9" s="401">
        <f>T9+1</f>
        <v>2030</v>
      </c>
      <c r="V9" s="401">
        <f>U9+1</f>
        <v>2031</v>
      </c>
    </row>
    <row r="10" spans="1:34">
      <c r="O10" s="100"/>
      <c r="P10" s="100"/>
      <c r="Q10" s="100"/>
      <c r="R10" s="100"/>
      <c r="S10" s="100"/>
      <c r="T10" s="100"/>
      <c r="U10" s="391"/>
      <c r="V10" s="100"/>
    </row>
    <row r="11" spans="1:34" ht="14">
      <c r="B11" s="156" t="s">
        <v>393</v>
      </c>
      <c r="C11" s="157" t="s">
        <v>394</v>
      </c>
      <c r="D11" s="158"/>
      <c r="E11" s="158"/>
      <c r="F11" s="158"/>
      <c r="G11" s="158"/>
      <c r="H11" s="158"/>
      <c r="I11" s="158"/>
      <c r="J11" s="158"/>
      <c r="K11" s="158"/>
      <c r="L11" s="158"/>
      <c r="M11" s="158"/>
      <c r="N11" s="158"/>
      <c r="O11" s="158"/>
      <c r="P11" s="158"/>
      <c r="Q11" s="158"/>
      <c r="R11" s="158"/>
      <c r="S11" s="158"/>
      <c r="T11" s="158"/>
      <c r="U11" s="176"/>
      <c r="V11" s="158"/>
    </row>
    <row r="12" spans="1:34" ht="14">
      <c r="B12" s="161"/>
      <c r="C12" s="162"/>
      <c r="D12" s="163"/>
      <c r="E12" s="163"/>
      <c r="F12" s="163"/>
      <c r="G12" s="163"/>
      <c r="H12" s="163"/>
      <c r="I12" s="163"/>
      <c r="J12" s="163"/>
      <c r="K12" s="163"/>
      <c r="L12" s="163"/>
      <c r="M12" s="163"/>
      <c r="N12" s="163"/>
      <c r="O12" s="163"/>
      <c r="P12" s="163"/>
      <c r="Q12" s="163"/>
      <c r="R12" s="163"/>
      <c r="S12" s="163"/>
      <c r="T12" s="163"/>
      <c r="U12" s="177"/>
      <c r="V12" s="163"/>
    </row>
    <row r="13" spans="1:34" ht="17.5" outlineLevel="1">
      <c r="B13" s="101"/>
      <c r="C13" s="164" t="s">
        <v>395</v>
      </c>
      <c r="D13" s="165"/>
      <c r="E13" s="165"/>
      <c r="F13" s="165"/>
      <c r="G13" s="165"/>
      <c r="H13" s="165"/>
      <c r="I13" s="165"/>
      <c r="J13" s="165"/>
      <c r="K13" s="165"/>
      <c r="L13" s="165"/>
      <c r="M13" s="165"/>
      <c r="N13" s="165"/>
      <c r="O13" s="165"/>
      <c r="P13" s="165"/>
      <c r="Q13" s="165"/>
      <c r="R13" s="165"/>
      <c r="S13" s="165"/>
      <c r="T13" s="165"/>
      <c r="U13" s="178"/>
      <c r="V13" s="165"/>
    </row>
    <row r="14" spans="1:34" ht="17.5" outlineLevel="1">
      <c r="B14" s="101"/>
      <c r="C14" s="102"/>
      <c r="U14" s="179"/>
    </row>
    <row r="15" spans="1:34" ht="17.5" outlineLevel="1">
      <c r="D15" s="166" t="s">
        <v>396</v>
      </c>
      <c r="E15" s="167"/>
      <c r="F15" s="167"/>
      <c r="G15" s="167"/>
      <c r="H15" s="167"/>
      <c r="I15" s="167"/>
      <c r="J15" s="167"/>
      <c r="K15" s="167"/>
      <c r="L15" s="167"/>
      <c r="M15" s="167"/>
      <c r="N15" s="167"/>
      <c r="O15" s="167"/>
      <c r="P15" s="167"/>
      <c r="Q15" s="167"/>
      <c r="R15" s="167"/>
      <c r="S15" s="167"/>
      <c r="T15" s="167"/>
      <c r="U15" s="180"/>
      <c r="V15" s="167"/>
    </row>
    <row r="16" spans="1:34" ht="17.5" outlineLevel="1">
      <c r="D16" s="102"/>
      <c r="U16" s="179"/>
    </row>
    <row r="17" spans="2:22" ht="40.5" outlineLevel="1">
      <c r="B17" s="697" t="s">
        <v>397</v>
      </c>
      <c r="C17" s="698" t="str">
        <f>'R6a - Net Debt input'!D25</f>
        <v>Issue date</v>
      </c>
      <c r="D17" s="698" t="str">
        <f>'R6a - Net Debt input'!E25</f>
        <v>Maturity date</v>
      </c>
      <c r="E17" s="698" t="str">
        <f>'R6a - Net Debt input'!F25</f>
        <v>Description</v>
      </c>
      <c r="F17" s="698" t="str">
        <f>'R6a - Net Debt input'!G25</f>
        <v>Bond type</v>
      </c>
      <c r="G17" s="698" t="str">
        <f>'R6a - Net Debt input'!H25</f>
        <v>Payment rank</v>
      </c>
      <c r="H17" s="699" t="str">
        <f>'R6a - Net Debt input'!I25</f>
        <v>Reference rate</v>
      </c>
      <c r="I17" s="699" t="str">
        <f>'R6a - Net Debt input'!J25</f>
        <v>Coupon rate / margin spread on reference rate</v>
      </c>
      <c r="U17" s="179"/>
    </row>
    <row r="18" spans="2:22" outlineLevel="1">
      <c r="B18" s="537"/>
      <c r="C18" s="700" t="str">
        <f>IF('R6a - Net Debt input'!D26 = "","",'R6a - Net Debt input'!D26)</f>
        <v>dd/mm/yyyy</v>
      </c>
      <c r="D18" s="700" t="str">
        <f>IF('R6a - Net Debt input'!E26 = "","",'R6a - Net Debt input'!E26)</f>
        <v>dd/mm/yyyy</v>
      </c>
      <c r="E18" s="700" t="str">
        <f>IF('R6a - Net Debt input'!F26 = "","",'R6a - Net Debt input'!F26)</f>
        <v/>
      </c>
      <c r="F18" s="700" t="str">
        <f>IF('R6a - Net Debt input'!G26 = "","",'R6a - Net Debt input'!G26)</f>
        <v/>
      </c>
      <c r="G18" s="700" t="str">
        <f>IF('R6a - Net Debt input'!H26 = "","",'R6a - Net Debt input'!H26)</f>
        <v/>
      </c>
      <c r="H18" s="700" t="str">
        <f>IF('R6a - Net Debt input'!I26 = "","",'R6a - Net Debt input'!I26)</f>
        <v/>
      </c>
      <c r="I18" s="698" t="str">
        <f>IF('R6a - Net Debt input'!J26 = "","",'R6a - Net Debt input'!J26)</f>
        <v>%</v>
      </c>
      <c r="M18" s="707" t="s">
        <v>398</v>
      </c>
      <c r="N18" s="707" t="s">
        <v>398</v>
      </c>
      <c r="O18" s="707" t="s">
        <v>398</v>
      </c>
      <c r="P18" s="707" t="s">
        <v>398</v>
      </c>
      <c r="Q18" s="707" t="s">
        <v>398</v>
      </c>
      <c r="R18" s="707" t="s">
        <v>398</v>
      </c>
      <c r="S18" s="707" t="s">
        <v>398</v>
      </c>
      <c r="T18" s="707" t="s">
        <v>398</v>
      </c>
      <c r="U18" s="707" t="s">
        <v>398</v>
      </c>
      <c r="V18" s="707" t="s">
        <v>398</v>
      </c>
    </row>
    <row r="19" spans="2:22" outlineLevel="1">
      <c r="B19" s="796" t="s">
        <v>399</v>
      </c>
      <c r="C19" s="702">
        <f>IF('R6a - Net Debt input'!D27 = "","",'R6a - Net Debt input'!D27)</f>
        <v>34373</v>
      </c>
      <c r="D19" s="702">
        <f>IF('R6a - Net Debt input'!E27 = "","",'R6a - Net Debt input'!E27)</f>
        <v>52635</v>
      </c>
      <c r="E19" s="703" t="str">
        <f>IF('R6a - Net Debt input'!F27 = "","",'R6a - Net Debt input'!F27)</f>
        <v>50 YR FIXED RATE DEBT: PAY 7.12500% GBP 28.2 M MAT: 08-FEB-2044</v>
      </c>
      <c r="F19" s="704" t="str">
        <f>IF('R6a - Net Debt input'!G27 = "","",'R6a - Net Debt input'!G27)</f>
        <v>Fixed rate</v>
      </c>
      <c r="G19" s="705" t="str">
        <f>IF('R6a - Net Debt input'!H27 = "","",'R6a - Net Debt input'!H27)</f>
        <v>Senior</v>
      </c>
      <c r="H19" s="704" t="str">
        <f>IF('R6a - Net Debt input'!I27 = "","",'R6a - Net Debt input'!I27)</f>
        <v>Not applicable</v>
      </c>
      <c r="I19" s="706">
        <f>IF('R6a - Net Debt input'!J27 = "","",'R6a - Net Debt input'!J27)</f>
        <v>7.1249999999999994E-2</v>
      </c>
      <c r="J19" s="130"/>
      <c r="K19" s="131"/>
      <c r="L19" s="132"/>
      <c r="M19" s="779">
        <v>0.7</v>
      </c>
      <c r="N19" s="779">
        <v>0.72792858999999999</v>
      </c>
      <c r="O19" s="779">
        <v>0.72995624999999997</v>
      </c>
      <c r="P19" s="779">
        <v>0.72995624999999997</v>
      </c>
      <c r="Q19" s="779">
        <v>0.72995624999999997</v>
      </c>
      <c r="R19" s="779">
        <v>0.72995624999999997</v>
      </c>
      <c r="S19" s="779">
        <v>0.72995624999999997</v>
      </c>
      <c r="T19" s="779">
        <v>0.72995624999999997</v>
      </c>
      <c r="U19" s="779">
        <v>0.72995624999999997</v>
      </c>
      <c r="V19" s="779">
        <v>0.72995624999999997</v>
      </c>
    </row>
    <row r="20" spans="2:22" outlineLevel="1">
      <c r="B20" s="796" t="s">
        <v>400</v>
      </c>
      <c r="C20" s="771">
        <f>IF('R6a - Net Debt input'!D28 = "","",'R6a - Net Debt input'!D28)</f>
        <v>34877</v>
      </c>
      <c r="D20" s="771">
        <f>IF('R6a - Net Debt input'!E28 = "","",'R6a - Net Debt input'!E28)</f>
        <v>45835</v>
      </c>
      <c r="E20" s="703" t="str">
        <f>IF('R6a - Net Debt input'!F28 = "","",'R6a - Net Debt input'!F28)</f>
        <v>30 YR FIXED RATE DEBT: PAY 8.75000% GBP 57.937M MAT: 06/27/25</v>
      </c>
      <c r="F20" s="704" t="str">
        <f>IF('R6a - Net Debt input'!G28 = "","",'R6a - Net Debt input'!G28)</f>
        <v>Fixed rate</v>
      </c>
      <c r="G20" s="705" t="str">
        <f>IF('R6a - Net Debt input'!H28 = "","",'R6a - Net Debt input'!H28)</f>
        <v>Senior</v>
      </c>
      <c r="H20" s="704" t="str">
        <f>IF('R6a - Net Debt input'!I28 = "","",'R6a - Net Debt input'!I28)</f>
        <v>Not applicable</v>
      </c>
      <c r="I20" s="706">
        <f>IF('R6a - Net Debt input'!J28 = "","",'R6a - Net Debt input'!J28)</f>
        <v>8.7499999999999994E-2</v>
      </c>
      <c r="J20" s="130"/>
      <c r="K20" s="131"/>
      <c r="L20" s="132"/>
      <c r="M20" s="779">
        <v>1.4</v>
      </c>
      <c r="N20" s="779">
        <v>1.42063031</v>
      </c>
      <c r="O20" s="779">
        <v>1.4245874999999999</v>
      </c>
      <c r="P20" s="779">
        <v>1.4245874999999999</v>
      </c>
      <c r="Q20" s="779">
        <v>0.34427531</v>
      </c>
      <c r="R20" s="779">
        <v>0</v>
      </c>
      <c r="S20" s="779">
        <v>0</v>
      </c>
      <c r="T20" s="779">
        <v>0</v>
      </c>
      <c r="U20" s="779">
        <v>0</v>
      </c>
      <c r="V20" s="779">
        <v>0</v>
      </c>
    </row>
    <row r="21" spans="2:22" outlineLevel="1">
      <c r="B21" s="796" t="s">
        <v>401</v>
      </c>
      <c r="C21" s="771">
        <f>IF('R6a - Net Debt input'!D29 = "","",'R6a - Net Debt input'!D29)</f>
        <v>36070</v>
      </c>
      <c r="D21" s="771">
        <f>IF('R6a - Net Debt input'!E29 = "","",'R6a - Net Debt input'!E29)</f>
        <v>47028</v>
      </c>
      <c r="E21" s="703" t="str">
        <f>IF('R6a - Net Debt input'!F29 = "","",'R6a - Net Debt input'!F29)</f>
        <v>30 YR FIXED RATE DEBT: PAY 6.20000% GBP 50.0 M MAT: 02-OCT-2028</v>
      </c>
      <c r="F21" s="704" t="str">
        <f>IF('R6a - Net Debt input'!G29 = "","",'R6a - Net Debt input'!G29)</f>
        <v>Fixed rate</v>
      </c>
      <c r="G21" s="705" t="str">
        <f>IF('R6a - Net Debt input'!H29 = "","",'R6a - Net Debt input'!H29)</f>
        <v>Senior</v>
      </c>
      <c r="H21" s="704" t="str">
        <f>IF('R6a - Net Debt input'!I29 = "","",'R6a - Net Debt input'!I29)</f>
        <v>Not applicable</v>
      </c>
      <c r="I21" s="706">
        <f>IF('R6a - Net Debt input'!J29 = "","",'R6a - Net Debt input'!J29)</f>
        <v>6.2E-2</v>
      </c>
      <c r="J21" s="130"/>
      <c r="K21" s="131"/>
      <c r="L21" s="132"/>
      <c r="M21" s="779">
        <v>3.1</v>
      </c>
      <c r="N21" s="779">
        <v>3.0917555699999997</v>
      </c>
      <c r="O21" s="779">
        <v>3.1090027899999999</v>
      </c>
      <c r="P21" s="779">
        <v>3.1090027899999999</v>
      </c>
      <c r="Q21" s="779">
        <v>3.1090027899999999</v>
      </c>
      <c r="R21" s="779">
        <v>3.1090027899999999</v>
      </c>
      <c r="S21" s="779">
        <v>3.1090027899999999</v>
      </c>
      <c r="T21" s="779">
        <v>1.5717736299999998</v>
      </c>
      <c r="U21" s="779">
        <v>0</v>
      </c>
      <c r="V21" s="779">
        <v>0</v>
      </c>
    </row>
    <row r="22" spans="2:22" outlineLevel="1">
      <c r="B22" s="796" t="s">
        <v>402</v>
      </c>
      <c r="C22" s="771">
        <f>IF('R6a - Net Debt input'!D30 = "","",'R6a - Net Debt input'!D30)</f>
        <v>39067</v>
      </c>
      <c r="D22" s="771">
        <f>IF('R6a - Net Debt input'!E30 = "","",'R6a - Net Debt input'!E30)</f>
        <v>45642</v>
      </c>
      <c r="E22" s="703" t="str">
        <f>IF('R6a - Net Debt input'!F30 = "","",'R6a - Net Debt input'!F30)</f>
        <v>18 YR FIXED RATE DEBT: PAY 7.00000% GBP 282.502M MAT: 16-DEC-2024</v>
      </c>
      <c r="F22" s="704" t="str">
        <f>IF('R6a - Net Debt input'!G30 = "","",'R6a - Net Debt input'!G30)</f>
        <v>Fixed rate</v>
      </c>
      <c r="G22" s="705" t="str">
        <f>IF('R6a - Net Debt input'!H30 = "","",'R6a - Net Debt input'!H30)</f>
        <v>Senior</v>
      </c>
      <c r="H22" s="704" t="str">
        <f>IF('R6a - Net Debt input'!I30 = "","",'R6a - Net Debt input'!I30)</f>
        <v>Not applicable</v>
      </c>
      <c r="I22" s="706">
        <f>IF('R6a - Net Debt input'!J30 = "","",'R6a - Net Debt input'!J30)</f>
        <v>7.0000000000000007E-2</v>
      </c>
      <c r="J22" s="130"/>
      <c r="K22" s="131"/>
      <c r="L22" s="132"/>
      <c r="M22" s="779">
        <v>5.7</v>
      </c>
      <c r="N22" s="779">
        <v>5.73389814</v>
      </c>
      <c r="O22" s="779">
        <v>5.7498699999999996</v>
      </c>
      <c r="P22" s="779">
        <v>4.0887964400000003</v>
      </c>
      <c r="Q22" s="779">
        <v>0</v>
      </c>
      <c r="R22" s="779">
        <v>0</v>
      </c>
      <c r="S22" s="779">
        <v>0</v>
      </c>
      <c r="T22" s="779">
        <v>0</v>
      </c>
      <c r="U22" s="779">
        <v>0</v>
      </c>
      <c r="V22" s="779">
        <v>0</v>
      </c>
    </row>
    <row r="23" spans="2:22" outlineLevel="1">
      <c r="B23" s="796" t="s">
        <v>958</v>
      </c>
      <c r="C23" s="771">
        <f>IF('R6a - Net Debt input'!D31 = "","",'R6a - Net Debt input'!D31)</f>
        <v>39581</v>
      </c>
      <c r="D23" s="771">
        <f>IF('R6a - Net Debt input'!E31 = "","",'R6a - Net Debt input'!E31)</f>
        <v>50538</v>
      </c>
      <c r="E23" s="703" t="str">
        <f>IF('R6a - Net Debt input'!F31 = "","",'R6a - Net Debt input'!F31)</f>
        <v>30 YR FIXED RATE DEBT: PAY 6.00000% GBP 11.0 M MAT: 13-MAY-2038</v>
      </c>
      <c r="F23" s="704" t="str">
        <f>IF('R6a - Net Debt input'!G31 = "","",'R6a - Net Debt input'!G31)</f>
        <v>Fixed rate</v>
      </c>
      <c r="G23" s="705" t="str">
        <f>IF('R6a - Net Debt input'!H31 = "","",'R6a - Net Debt input'!H31)</f>
        <v>Senior</v>
      </c>
      <c r="H23" s="704" t="str">
        <f>IF('R6a - Net Debt input'!I31 = "","",'R6a - Net Debt input'!I31)</f>
        <v>Not applicable</v>
      </c>
      <c r="I23" s="706">
        <f>IF('R6a - Net Debt input'!J31 = "","",'R6a - Net Debt input'!J31)</f>
        <v>0.06</v>
      </c>
      <c r="J23" s="130"/>
      <c r="K23" s="131"/>
      <c r="L23" s="132"/>
      <c r="M23" s="779">
        <v>0.5</v>
      </c>
      <c r="N23" s="779">
        <v>0.46748013999999999</v>
      </c>
      <c r="O23" s="779">
        <v>0.46905099</v>
      </c>
      <c r="P23" s="779">
        <v>0.46838668999999994</v>
      </c>
      <c r="Q23" s="779">
        <v>0.46885558999999999</v>
      </c>
      <c r="R23" s="779">
        <v>0.46876441999999996</v>
      </c>
      <c r="S23" s="779">
        <v>0.46905099</v>
      </c>
      <c r="T23" s="779">
        <v>0.46838668999999994</v>
      </c>
      <c r="U23" s="779">
        <v>0.46885558999999999</v>
      </c>
      <c r="V23" s="779">
        <v>0.46876441999999996</v>
      </c>
    </row>
    <row r="24" spans="2:22" outlineLevel="1">
      <c r="B24" s="796" t="s">
        <v>959</v>
      </c>
      <c r="C24" s="771">
        <f>IF('R6a - Net Debt input'!D32 = "","",'R6a - Net Debt input'!D32)</f>
        <v>39581</v>
      </c>
      <c r="D24" s="771">
        <f>IF('R6a - Net Debt input'!E32 = "","",'R6a - Net Debt input'!E32)</f>
        <v>50538</v>
      </c>
      <c r="E24" s="703" t="str">
        <f>IF('R6a - Net Debt input'!F32 = "","",'R6a - Net Debt input'!F32)</f>
        <v>30 YR FIXED RATE DEBT: PAY 6.00000% GBP 24.0 M MAT: 13-MAY-2038</v>
      </c>
      <c r="F24" s="704" t="str">
        <f>IF('R6a - Net Debt input'!G32 = "","",'R6a - Net Debt input'!G32)</f>
        <v>Fixed rate</v>
      </c>
      <c r="G24" s="705" t="str">
        <f>IF('R6a - Net Debt input'!H32 = "","",'R6a - Net Debt input'!H32)</f>
        <v>Senior</v>
      </c>
      <c r="H24" s="704" t="str">
        <f>IF('R6a - Net Debt input'!I32 = "","",'R6a - Net Debt input'!I32)</f>
        <v>Not applicable</v>
      </c>
      <c r="I24" s="706">
        <f>IF('R6a - Net Debt input'!J32 = "","",'R6a - Net Debt input'!J32)</f>
        <v>0.06</v>
      </c>
      <c r="J24" s="130"/>
      <c r="K24" s="131"/>
      <c r="L24" s="132"/>
      <c r="M24" s="779">
        <v>1.5</v>
      </c>
      <c r="N24" s="779">
        <v>1.49701756</v>
      </c>
      <c r="O24" s="779">
        <v>1.5020146200000002</v>
      </c>
      <c r="P24" s="779">
        <v>1.4999494799999999</v>
      </c>
      <c r="Q24" s="779">
        <v>1.50142665</v>
      </c>
      <c r="R24" s="779">
        <v>1.5011302500000001</v>
      </c>
      <c r="S24" s="779">
        <v>1.5020146200000002</v>
      </c>
      <c r="T24" s="779">
        <v>1.4999494799999999</v>
      </c>
      <c r="U24" s="779">
        <v>1.50142665</v>
      </c>
      <c r="V24" s="779">
        <v>1.5011302500000001</v>
      </c>
    </row>
    <row r="25" spans="2:22" outlineLevel="1">
      <c r="B25" s="796" t="s">
        <v>960</v>
      </c>
      <c r="C25" s="771">
        <f>IF('R6a - Net Debt input'!D33 = "","",'R6a - Net Debt input'!D33)</f>
        <v>39946</v>
      </c>
      <c r="D25" s="771">
        <f>IF('R6a - Net Debt input'!E33 = "","",'R6a - Net Debt input'!E33)</f>
        <v>50538</v>
      </c>
      <c r="E25" s="703" t="str">
        <f>IF('R6a - Net Debt input'!F33 = "","",'R6a - Net Debt input'!F33)</f>
        <v>29 YR FIXED RATE DEBT: PAY 6.00000% GBP 5.0 M MAT: 13-MAY-2038</v>
      </c>
      <c r="F25" s="704" t="str">
        <f>IF('R6a - Net Debt input'!G33 = "","",'R6a - Net Debt input'!G33)</f>
        <v>Fixed rate</v>
      </c>
      <c r="G25" s="705" t="str">
        <f>IF('R6a - Net Debt input'!H33 = "","",'R6a - Net Debt input'!H33)</f>
        <v>Senior</v>
      </c>
      <c r="H25" s="704" t="str">
        <f>IF('R6a - Net Debt input'!I33 = "","",'R6a - Net Debt input'!I33)</f>
        <v>Not applicable</v>
      </c>
      <c r="I25" s="706">
        <f>IF('R6a - Net Debt input'!J33 = "","",'R6a - Net Debt input'!J33)</f>
        <v>0.06</v>
      </c>
      <c r="J25" s="130"/>
      <c r="K25" s="131"/>
      <c r="L25" s="132"/>
      <c r="M25" s="779">
        <v>0.3</v>
      </c>
      <c r="N25" s="779">
        <v>0.30625563</v>
      </c>
      <c r="O25" s="779">
        <v>0.30726958000000004</v>
      </c>
      <c r="P25" s="779">
        <v>0.30686265000000001</v>
      </c>
      <c r="Q25" s="779">
        <v>0.30715873999999999</v>
      </c>
      <c r="R25" s="779">
        <v>0.30709699000000001</v>
      </c>
      <c r="S25" s="779">
        <v>0.30726958000000004</v>
      </c>
      <c r="T25" s="779">
        <v>0.30686265000000001</v>
      </c>
      <c r="U25" s="779">
        <v>0.30715873999999999</v>
      </c>
      <c r="V25" s="779">
        <v>0.30709699000000001</v>
      </c>
    </row>
    <row r="26" spans="2:22" outlineLevel="1">
      <c r="B26" s="796" t="s">
        <v>961</v>
      </c>
      <c r="C26" s="771">
        <f>IF('R6a - Net Debt input'!D34 = "","",'R6a - Net Debt input'!D34)</f>
        <v>39946</v>
      </c>
      <c r="D26" s="771">
        <f>IF('R6a - Net Debt input'!E34 = "","",'R6a - Net Debt input'!E34)</f>
        <v>50538</v>
      </c>
      <c r="E26" s="703" t="str">
        <f>IF('R6a - Net Debt input'!F34 = "","",'R6a - Net Debt input'!F34)</f>
        <v>29 YR FIXED RATE DEBT: PAY 6.00000% GBP 8.0 M MAT: 13-MAY-2038</v>
      </c>
      <c r="F26" s="704" t="str">
        <f>IF('R6a - Net Debt input'!G34 = "","",'R6a - Net Debt input'!G34)</f>
        <v>Fixed rate</v>
      </c>
      <c r="G26" s="705" t="str">
        <f>IF('R6a - Net Debt input'!H34 = "","",'R6a - Net Debt input'!H34)</f>
        <v>Senior</v>
      </c>
      <c r="H26" s="704" t="str">
        <f>IF('R6a - Net Debt input'!I34 = "","",'R6a - Net Debt input'!I34)</f>
        <v>Not applicable</v>
      </c>
      <c r="I26" s="706">
        <f>IF('R6a - Net Debt input'!J34 = "","",'R6a - Net Debt input'!J34)</f>
        <v>0.06</v>
      </c>
      <c r="J26" s="130"/>
      <c r="K26" s="131"/>
      <c r="L26" s="132"/>
      <c r="M26" s="779">
        <v>0.5</v>
      </c>
      <c r="N26" s="779">
        <v>0.47380749</v>
      </c>
      <c r="O26" s="779">
        <v>0.47535173999999997</v>
      </c>
      <c r="P26" s="779">
        <v>0.47476777000000003</v>
      </c>
      <c r="Q26" s="779">
        <v>0.47520795999999998</v>
      </c>
      <c r="R26" s="779">
        <v>0.47510915999999997</v>
      </c>
      <c r="S26" s="779">
        <v>0.47535173999999997</v>
      </c>
      <c r="T26" s="779">
        <v>0.47476777000000003</v>
      </c>
      <c r="U26" s="779">
        <v>0.47520795999999998</v>
      </c>
      <c r="V26" s="779">
        <v>0.47510915999999997</v>
      </c>
    </row>
    <row r="27" spans="2:22" outlineLevel="1">
      <c r="B27" s="796" t="s">
        <v>962</v>
      </c>
      <c r="C27" s="771">
        <f>IF('R6a - Net Debt input'!D35 = "","",'R6a - Net Debt input'!D35)</f>
        <v>41264</v>
      </c>
      <c r="D27" s="771">
        <f>IF('R6a - Net Debt input'!E35 = "","",'R6a - Net Debt input'!E35)</f>
        <v>46742</v>
      </c>
      <c r="E27" s="703" t="str">
        <f>IF('R6a - Net Debt input'!F35 = "","",'R6a - Net Debt input'!F35)</f>
        <v>15 YR FIXED RATE DEBT: PAY 3.05000% HKD 300.0 M MAT: 21-DEC-2027</v>
      </c>
      <c r="F27" s="704" t="str">
        <f>IF('R6a - Net Debt input'!G35 = "","",'R6a - Net Debt input'!G35)</f>
        <v>Fixed rate</v>
      </c>
      <c r="G27" s="705" t="str">
        <f>IF('R6a - Net Debt input'!H35 = "","",'R6a - Net Debt input'!H35)</f>
        <v>Senior</v>
      </c>
      <c r="H27" s="704" t="str">
        <f>IF('R6a - Net Debt input'!I35 = "","",'R6a - Net Debt input'!I35)</f>
        <v>Not applicable</v>
      </c>
      <c r="I27" s="706">
        <f>IF('R6a - Net Debt input'!J35 = "","",'R6a - Net Debt input'!J35)</f>
        <v>3.0499999999999999E-2</v>
      </c>
      <c r="J27" s="130"/>
      <c r="K27" s="131"/>
      <c r="L27" s="132"/>
      <c r="M27" s="779">
        <v>0.9</v>
      </c>
      <c r="N27" s="779">
        <v>0.88624060999999998</v>
      </c>
      <c r="O27" s="779">
        <v>0.89111006000000004</v>
      </c>
      <c r="P27" s="779">
        <v>0.88867532999999999</v>
      </c>
      <c r="Q27" s="779">
        <v>0.88867532999999999</v>
      </c>
      <c r="R27" s="779">
        <v>0.88867532999999999</v>
      </c>
      <c r="S27" s="779">
        <v>0.64520264000000005</v>
      </c>
      <c r="T27" s="779">
        <v>0</v>
      </c>
      <c r="U27" s="779">
        <v>0</v>
      </c>
      <c r="V27" s="779">
        <v>0</v>
      </c>
    </row>
    <row r="28" spans="2:22" outlineLevel="1">
      <c r="B28" s="796" t="s">
        <v>963</v>
      </c>
      <c r="C28" s="771">
        <f>IF('R6a - Net Debt input'!D36 = "","",'R6a - Net Debt input'!D36)</f>
        <v>36238</v>
      </c>
      <c r="D28" s="771">
        <f>IF('R6a - Net Debt input'!E36 = "","",'R6a - Net Debt input'!E36)</f>
        <v>47200</v>
      </c>
      <c r="E28" s="703" t="str">
        <f>IF('R6a - Net Debt input'!F36 = "","",'R6a - Net Debt input'!F36)</f>
        <v>30 YR FIXED RATE DEBT: PAY 4.31000% USD 85.8 M MAT: 23-MAR-2029</v>
      </c>
      <c r="F28" s="704" t="str">
        <f>IF('R6a - Net Debt input'!G36 = "","",'R6a - Net Debt input'!G36)</f>
        <v>Fixed rate</v>
      </c>
      <c r="G28" s="705" t="str">
        <f>IF('R6a - Net Debt input'!H36 = "","",'R6a - Net Debt input'!H36)</f>
        <v>Senior</v>
      </c>
      <c r="H28" s="704" t="str">
        <f>IF('R6a - Net Debt input'!I36 = "","",'R6a - Net Debt input'!I36)</f>
        <v>Not applicable</v>
      </c>
      <c r="I28" s="706">
        <f>IF('R6a - Net Debt input'!J36 = "","",'R6a - Net Debt input'!J36)</f>
        <v>4.3099999999999999E-2</v>
      </c>
      <c r="J28" s="130"/>
      <c r="K28" s="131"/>
      <c r="L28" s="132"/>
      <c r="M28" s="779">
        <v>2.8</v>
      </c>
      <c r="N28" s="779">
        <v>2.8147525400000002</v>
      </c>
      <c r="O28" s="779">
        <v>2.8147525400000002</v>
      </c>
      <c r="P28" s="779">
        <v>2.8147525400000002</v>
      </c>
      <c r="Q28" s="779">
        <v>2.8147525400000002</v>
      </c>
      <c r="R28" s="779">
        <v>2.8147525400000002</v>
      </c>
      <c r="S28" s="779">
        <v>2.8147525400000002</v>
      </c>
      <c r="T28" s="779">
        <v>2.7522024799999998</v>
      </c>
      <c r="U28" s="779">
        <v>0</v>
      </c>
      <c r="V28" s="779">
        <v>0</v>
      </c>
    </row>
    <row r="29" spans="2:22" outlineLevel="1">
      <c r="B29" s="796" t="s">
        <v>964</v>
      </c>
      <c r="C29" s="771">
        <f>IF('R6a - Net Debt input'!D37 = "","",'R6a - Net Debt input'!D37)</f>
        <v>36475</v>
      </c>
      <c r="D29" s="771">
        <f>IF('R6a - Net Debt input'!E37 = "","",'R6a - Net Debt input'!E37)</f>
        <v>47434</v>
      </c>
      <c r="E29" s="703" t="str">
        <f>IF('R6a - Net Debt input'!F37 = "","",'R6a - Net Debt input'!F37)</f>
        <v>30 YR FIXED RATE DEBT: PAY 4.63000% USD 92.7 M MAT: 12-NOV-2029</v>
      </c>
      <c r="F29" s="704" t="str">
        <f>IF('R6a - Net Debt input'!G37 = "","",'R6a - Net Debt input'!G37)</f>
        <v>Fixed rate</v>
      </c>
      <c r="G29" s="705" t="str">
        <f>IF('R6a - Net Debt input'!H37 = "","",'R6a - Net Debt input'!H37)</f>
        <v>Senior</v>
      </c>
      <c r="H29" s="704" t="str">
        <f>IF('R6a - Net Debt input'!I37 = "","",'R6a - Net Debt input'!I37)</f>
        <v>Not applicable</v>
      </c>
      <c r="I29" s="706">
        <f>IF('R6a - Net Debt input'!J37 = "","",'R6a - Net Debt input'!J37)</f>
        <v>4.6300000000000001E-2</v>
      </c>
      <c r="J29" s="130"/>
      <c r="K29" s="131"/>
      <c r="L29" s="132"/>
      <c r="M29" s="779">
        <v>3.2</v>
      </c>
      <c r="N29" s="779">
        <v>3.2571803500000001</v>
      </c>
      <c r="O29" s="779">
        <v>3.2662532799999999</v>
      </c>
      <c r="P29" s="779">
        <v>3.2662532799999999</v>
      </c>
      <c r="Q29" s="779">
        <v>3.2662532799999999</v>
      </c>
      <c r="R29" s="779">
        <v>3.2662532799999999</v>
      </c>
      <c r="S29" s="779">
        <v>3.2662532799999999</v>
      </c>
      <c r="T29" s="779">
        <v>3.2662532799999999</v>
      </c>
      <c r="U29" s="779">
        <v>2.0232624499999998</v>
      </c>
      <c r="V29" s="779">
        <v>0</v>
      </c>
    </row>
    <row r="30" spans="2:22" outlineLevel="1">
      <c r="B30" s="796" t="s">
        <v>965</v>
      </c>
      <c r="C30" s="771">
        <f>IF('R6a - Net Debt input'!D38 = "","",'R6a - Net Debt input'!D38)</f>
        <v>39458</v>
      </c>
      <c r="D30" s="771">
        <f>IF('R6a - Net Debt input'!E38 = "","",'R6a - Net Debt input'!E38)</f>
        <v>44936</v>
      </c>
      <c r="E30" s="703" t="str">
        <f>IF('R6a - Net Debt input'!F38 = "","",'R6a - Net Debt input'!F38)</f>
        <v>15.0 YR FIXED RATE DEBT: PAY 2.54000% JPY 3000.0 M MAT: 10-JAN-2023</v>
      </c>
      <c r="F30" s="704" t="str">
        <f>IF('R6a - Net Debt input'!G38 = "","",'R6a - Net Debt input'!G38)</f>
        <v>Fixed rate</v>
      </c>
      <c r="G30" s="705" t="str">
        <f>IF('R6a - Net Debt input'!H38 = "","",'R6a - Net Debt input'!H38)</f>
        <v>Senior</v>
      </c>
      <c r="H30" s="704" t="str">
        <f>IF('R6a - Net Debt input'!I38 = "","",'R6a - Net Debt input'!I38)</f>
        <v>Not applicable</v>
      </c>
      <c r="I30" s="706">
        <f>IF('R6a - Net Debt input'!J38 = "","",'R6a - Net Debt input'!J38)</f>
        <v>2.5399999999999999E-2</v>
      </c>
      <c r="J30" s="130"/>
      <c r="K30" s="131"/>
      <c r="L30" s="132"/>
      <c r="M30" s="779">
        <v>0.5</v>
      </c>
      <c r="N30" s="779">
        <v>0.36954355999999999</v>
      </c>
      <c r="O30" s="779">
        <v>0</v>
      </c>
      <c r="P30" s="779">
        <v>0</v>
      </c>
      <c r="Q30" s="779">
        <v>0</v>
      </c>
      <c r="R30" s="779">
        <v>0</v>
      </c>
      <c r="S30" s="779">
        <v>0</v>
      </c>
      <c r="T30" s="779">
        <v>0</v>
      </c>
      <c r="U30" s="779">
        <v>0</v>
      </c>
      <c r="V30" s="779">
        <v>0</v>
      </c>
    </row>
    <row r="31" spans="2:22" outlineLevel="1">
      <c r="B31" s="796" t="s">
        <v>966</v>
      </c>
      <c r="C31" s="771">
        <f>IF('R6a - Net Debt input'!D39 = "","",'R6a - Net Debt input'!D39)</f>
        <v>42635</v>
      </c>
      <c r="D31" s="771">
        <f>IF('R6a - Net Debt input'!E39 = "","",'R6a - Net Debt input'!E39)</f>
        <v>44909</v>
      </c>
      <c r="E31" s="703" t="str">
        <f>IF('R6a - Net Debt input'!F39 = "","",'R6a - Net Debt input'!F39)</f>
        <v>6.5 YR FLOATING RATE DEBT: PAY 12M/1Y RPI 4.1875% REAL RATE GBP 416.3 M MAT: 14-DEC-2022</v>
      </c>
      <c r="F31" s="704" t="str">
        <f>IF('R6a - Net Debt input'!G39 = "","",'R6a - Net Debt input'!G39)</f>
        <v>Inflation-linked</v>
      </c>
      <c r="G31" s="705" t="str">
        <f>IF('R6a - Net Debt input'!H39 = "","",'R6a - Net Debt input'!H39)</f>
        <v>Senior</v>
      </c>
      <c r="H31" s="704" t="str">
        <f>IF('R6a - Net Debt input'!I39 = "","",'R6a - Net Debt input'!I39)</f>
        <v>RPI 12 month</v>
      </c>
      <c r="I31" s="706">
        <f>IF('R6a - Net Debt input'!J39 = "","",'R6a - Net Debt input'!J39)</f>
        <v>4.1875000000000002E-2</v>
      </c>
      <c r="J31" s="130"/>
      <c r="K31" s="131"/>
      <c r="L31" s="132"/>
      <c r="M31" s="779">
        <v>42.7</v>
      </c>
      <c r="N31" s="779">
        <v>0</v>
      </c>
      <c r="O31" s="779">
        <v>0</v>
      </c>
      <c r="P31" s="779">
        <v>0</v>
      </c>
      <c r="Q31" s="779">
        <v>0</v>
      </c>
      <c r="R31" s="779">
        <v>0</v>
      </c>
      <c r="S31" s="779">
        <v>0</v>
      </c>
      <c r="T31" s="779">
        <v>0</v>
      </c>
      <c r="U31" s="779">
        <v>0</v>
      </c>
      <c r="V31" s="779">
        <v>0</v>
      </c>
    </row>
    <row r="32" spans="2:22" outlineLevel="1">
      <c r="B32" s="796" t="s">
        <v>967</v>
      </c>
      <c r="C32" s="771">
        <f>IF('R6a - Net Debt input'!D40 = "","",'R6a - Net Debt input'!D40)</f>
        <v>38814</v>
      </c>
      <c r="D32" s="771">
        <f>IF('R6a - Net Debt input'!E40 = "","",'R6a - Net Debt input'!E40)</f>
        <v>49772</v>
      </c>
      <c r="E32" s="703" t="str">
        <f>IF('R6a - Net Debt input'!F40 = "","",'R6a - Net Debt input'!F40)</f>
        <v>30 YR FLOATING RATE DEBT: PAY 12M/1Y RPI 1.6747% REAL RATE GBP 100.0 M MAT: 07-APR-2036</v>
      </c>
      <c r="F32" s="704" t="str">
        <f>IF('R6a - Net Debt input'!G40 = "","",'R6a - Net Debt input'!G40)</f>
        <v>Inflation-linked</v>
      </c>
      <c r="G32" s="705" t="str">
        <f>IF('R6a - Net Debt input'!H40 = "","",'R6a - Net Debt input'!H40)</f>
        <v>Senior</v>
      </c>
      <c r="H32" s="704" t="str">
        <f>IF('R6a - Net Debt input'!I40 = "","",'R6a - Net Debt input'!I40)</f>
        <v>RPI 12 month</v>
      </c>
      <c r="I32" s="706">
        <f>IF('R6a - Net Debt input'!J40 = "","",'R6a - Net Debt input'!J40)</f>
        <v>1.6747000000000001E-2</v>
      </c>
      <c r="J32" s="130"/>
      <c r="K32" s="131"/>
      <c r="L32" s="132"/>
      <c r="M32" s="779">
        <v>9.6999999999999993</v>
      </c>
      <c r="N32" s="779">
        <v>20.405088576260948</v>
      </c>
      <c r="O32" s="779">
        <v>11.201480305343596</v>
      </c>
      <c r="P32" s="779">
        <v>7.6785688687859359</v>
      </c>
      <c r="Q32" s="779">
        <v>8.0877611127462057</v>
      </c>
      <c r="R32" s="779">
        <v>9.1422284896087902</v>
      </c>
      <c r="S32" s="779">
        <v>9.4164953442970472</v>
      </c>
      <c r="T32" s="779">
        <v>9.6989902046259697</v>
      </c>
      <c r="U32" s="779">
        <v>9.9899599107647479</v>
      </c>
      <c r="V32" s="779">
        <v>10.289658708087689</v>
      </c>
    </row>
    <row r="33" spans="2:22" outlineLevel="1">
      <c r="B33" s="796" t="s">
        <v>968</v>
      </c>
      <c r="C33" s="771">
        <f>IF('R6a - Net Debt input'!D41 = "","",'R6a - Net Debt input'!D41)</f>
        <v>38896</v>
      </c>
      <c r="D33" s="771">
        <f>IF('R6a - Net Debt input'!E41 = "","",'R6a - Net Debt input'!E41)</f>
        <v>53506</v>
      </c>
      <c r="E33" s="703" t="str">
        <f>IF('R6a - Net Debt input'!F41 = "","",'R6a - Net Debt input'!F41)</f>
        <v>40 YR FLOATING RATE DEBT: PAY 12M/1Y RPI 1.7298% REAL RATE GBP 115.0 M MAT: 28-JUN-2046</v>
      </c>
      <c r="F33" s="704" t="str">
        <f>IF('R6a - Net Debt input'!G41 = "","",'R6a - Net Debt input'!G41)</f>
        <v>Inflation-linked</v>
      </c>
      <c r="G33" s="705" t="str">
        <f>IF('R6a - Net Debt input'!H41 = "","",'R6a - Net Debt input'!H41)</f>
        <v>Senior</v>
      </c>
      <c r="H33" s="704" t="str">
        <f>IF('R6a - Net Debt input'!I41 = "","",'R6a - Net Debt input'!I41)</f>
        <v>RPI 12 month</v>
      </c>
      <c r="I33" s="706">
        <f>IF('R6a - Net Debt input'!J41 = "","",'R6a - Net Debt input'!J41)</f>
        <v>1.7298000000000001E-2</v>
      </c>
      <c r="J33" s="130"/>
      <c r="K33" s="131"/>
      <c r="L33" s="132"/>
      <c r="M33" s="779">
        <v>11</v>
      </c>
      <c r="N33" s="779">
        <v>23.42375083046565</v>
      </c>
      <c r="O33" s="779">
        <v>12.932639016186409</v>
      </c>
      <c r="P33" s="779">
        <v>8.9181199453360556</v>
      </c>
      <c r="Q33" s="779">
        <v>9.3889704408017884</v>
      </c>
      <c r="R33" s="779">
        <v>10.596646223720459</v>
      </c>
      <c r="S33" s="779">
        <v>10.91454561043205</v>
      </c>
      <c r="T33" s="779">
        <v>11.241981978745024</v>
      </c>
      <c r="U33" s="779">
        <v>11.579241438107363</v>
      </c>
      <c r="V33" s="779">
        <v>11.926618681250581</v>
      </c>
    </row>
    <row r="34" spans="2:22" outlineLevel="1">
      <c r="B34" s="796" t="s">
        <v>969</v>
      </c>
      <c r="C34" s="771">
        <f>IF('R6a - Net Debt input'!D42 = "","",'R6a - Net Debt input'!D42)</f>
        <v>39007</v>
      </c>
      <c r="D34" s="771">
        <f>IF('R6a - Net Debt input'!E42 = "","",'R6a - Net Debt input'!E42)</f>
        <v>49965</v>
      </c>
      <c r="E34" s="703" t="str">
        <f>IF('R6a - Net Debt input'!F42 = "","",'R6a - Net Debt input'!F42)</f>
        <v>30 YR FLOATING RATE DEBT: PAY 12M/1Y RPI 1.7540% REAL RATE GBP 300.0 M MAT: 17-OCT-2036</v>
      </c>
      <c r="F34" s="704" t="str">
        <f>IF('R6a - Net Debt input'!G42 = "","",'R6a - Net Debt input'!G42)</f>
        <v>Inflation-linked</v>
      </c>
      <c r="G34" s="705" t="str">
        <f>IF('R6a - Net Debt input'!H42 = "","",'R6a - Net Debt input'!H42)</f>
        <v>Senior</v>
      </c>
      <c r="H34" s="704" t="str">
        <f>IF('R6a - Net Debt input'!I42 = "","",'R6a - Net Debt input'!I42)</f>
        <v>RPI 12 month</v>
      </c>
      <c r="I34" s="706">
        <f>IF('R6a - Net Debt input'!J42 = "","",'R6a - Net Debt input'!J42)</f>
        <v>1.754E-2</v>
      </c>
      <c r="J34" s="130"/>
      <c r="K34" s="131"/>
      <c r="L34" s="132"/>
      <c r="M34" s="779">
        <v>42.4</v>
      </c>
      <c r="N34" s="779">
        <v>61.42429872680038</v>
      </c>
      <c r="O34" s="779">
        <v>33.766281108119642</v>
      </c>
      <c r="P34" s="779">
        <v>23.18025624176915</v>
      </c>
      <c r="Q34" s="779">
        <v>24.412739404015927</v>
      </c>
      <c r="R34" s="779">
        <v>27.585171894169672</v>
      </c>
      <c r="S34" s="779">
        <v>28.412727050994683</v>
      </c>
      <c r="T34" s="779">
        <v>29.265108862524535</v>
      </c>
      <c r="U34" s="779">
        <v>30.143062128400345</v>
      </c>
      <c r="V34" s="779">
        <v>31.04735399225229</v>
      </c>
    </row>
    <row r="35" spans="2:22" outlineLevel="1">
      <c r="B35" s="796" t="s">
        <v>970</v>
      </c>
      <c r="C35" s="771">
        <f>IF('R6a - Net Debt input'!D43 = "","",'R6a - Net Debt input'!D43)</f>
        <v>39094</v>
      </c>
      <c r="D35" s="771">
        <f>IF('R6a - Net Debt input'!E43 = "","",'R6a - Net Debt input'!E43)</f>
        <v>50052</v>
      </c>
      <c r="E35" s="703" t="str">
        <f>IF('R6a - Net Debt input'!F43 = "","",'R6a - Net Debt input'!F43)</f>
        <v>30 YR FLOATING RATE DEBT: PAY 12M/1Y RPI 1.7864% REAL RATE GBP 140.0 M MAT: 12-JAN-2037</v>
      </c>
      <c r="F35" s="704" t="str">
        <f>IF('R6a - Net Debt input'!G43 = "","",'R6a - Net Debt input'!G43)</f>
        <v>Inflation-linked</v>
      </c>
      <c r="G35" s="705" t="str">
        <f>IF('R6a - Net Debt input'!H43 = "","",'R6a - Net Debt input'!H43)</f>
        <v>Senior</v>
      </c>
      <c r="H35" s="704" t="str">
        <f>IF('R6a - Net Debt input'!I43 = "","",'R6a - Net Debt input'!I43)</f>
        <v>RPI 12 month</v>
      </c>
      <c r="I35" s="706">
        <f>IF('R6a - Net Debt input'!J43 = "","",'R6a - Net Debt input'!J43)</f>
        <v>1.7864000000000001E-2</v>
      </c>
      <c r="J35" s="130"/>
      <c r="K35" s="131"/>
      <c r="L35" s="132"/>
      <c r="M35" s="779">
        <v>14.1</v>
      </c>
      <c r="N35" s="779">
        <v>28.027132159492847</v>
      </c>
      <c r="O35" s="779">
        <v>15.532502858680079</v>
      </c>
      <c r="P35" s="779">
        <v>10.75228360898396</v>
      </c>
      <c r="Q35" s="779">
        <v>11.316552689975984</v>
      </c>
      <c r="R35" s="779">
        <v>12.75937636648159</v>
      </c>
      <c r="S35" s="779">
        <v>13.142157657476062</v>
      </c>
      <c r="T35" s="779">
        <v>13.536422387200325</v>
      </c>
      <c r="U35" s="779">
        <v>13.94251505881638</v>
      </c>
      <c r="V35" s="779">
        <v>14.360790510580838</v>
      </c>
    </row>
    <row r="36" spans="2:22" outlineLevel="1">
      <c r="B36" s="796" t="s">
        <v>971</v>
      </c>
      <c r="C36" s="771">
        <f>IF('R6a - Net Debt input'!D44 = "","",'R6a - Net Debt input'!D44)</f>
        <v>39094</v>
      </c>
      <c r="D36" s="771">
        <f>IF('R6a - Net Debt input'!E44 = "","",'R6a - Net Debt input'!E44)</f>
        <v>50052</v>
      </c>
      <c r="E36" s="703" t="str">
        <f>IF('R6a - Net Debt input'!F44 = "","",'R6a - Net Debt input'!F44)</f>
        <v>30 YR FLOATING RATE DEBT: PAY 12M/1Y RPI 1.7552% REAL RATE GBP 50.0 M MAT: 12-JAN-2037</v>
      </c>
      <c r="F36" s="704" t="str">
        <f>IF('R6a - Net Debt input'!G44 = "","",'R6a - Net Debt input'!G44)</f>
        <v>Inflation-linked</v>
      </c>
      <c r="G36" s="705" t="str">
        <f>IF('R6a - Net Debt input'!H44 = "","",'R6a - Net Debt input'!H44)</f>
        <v>Senior</v>
      </c>
      <c r="H36" s="704" t="str">
        <f>IF('R6a - Net Debt input'!I44 = "","",'R6a - Net Debt input'!I44)</f>
        <v>RPI 12 month</v>
      </c>
      <c r="I36" s="706">
        <f>IF('R6a - Net Debt input'!J44 = "","",'R6a - Net Debt input'!J44)</f>
        <v>1.7552000000000002E-2</v>
      </c>
      <c r="J36" s="130"/>
      <c r="K36" s="131"/>
      <c r="L36" s="132"/>
      <c r="M36" s="779">
        <v>5</v>
      </c>
      <c r="N36" s="779">
        <v>9.946316742789298</v>
      </c>
      <c r="O36" s="779">
        <v>5.4810384557968996</v>
      </c>
      <c r="P36" s="779">
        <v>3.7721857153979554</v>
      </c>
      <c r="Q36" s="779">
        <v>3.9719615979174625</v>
      </c>
      <c r="R36" s="779">
        <v>4.4851658372143994</v>
      </c>
      <c r="S36" s="779">
        <v>4.6197208123308329</v>
      </c>
      <c r="T36" s="779">
        <v>4.7583124367007477</v>
      </c>
      <c r="U36" s="779">
        <v>4.9010618098017718</v>
      </c>
      <c r="V36" s="779">
        <v>5.0480936640958252</v>
      </c>
    </row>
    <row r="37" spans="2:22" outlineLevel="1">
      <c r="B37" s="796" t="s">
        <v>972</v>
      </c>
      <c r="C37" s="771">
        <f>IF('R6a - Net Debt input'!D45 = "","",'R6a - Net Debt input'!D45)</f>
        <v>39108</v>
      </c>
      <c r="D37" s="771">
        <f>IF('R6a - Net Debt input'!E45 = "","",'R6a - Net Debt input'!E45)</f>
        <v>50129</v>
      </c>
      <c r="E37" s="703" t="str">
        <f>IF('R6a - Net Debt input'!F45 = "","",'R6a - Net Debt input'!F45)</f>
        <v>30.2 YR FLOATING RATE DEBT: PAY 12M/1Y RPI 1.7712% REAL RATE GBP 25.0 M MAT: 30-MAR-2037</v>
      </c>
      <c r="F37" s="704" t="str">
        <f>IF('R6a - Net Debt input'!G45 = "","",'R6a - Net Debt input'!G45)</f>
        <v>Inflation-linked</v>
      </c>
      <c r="G37" s="705" t="str">
        <f>IF('R6a - Net Debt input'!H45 = "","",'R6a - Net Debt input'!H45)</f>
        <v>Senior</v>
      </c>
      <c r="H37" s="704" t="str">
        <f>IF('R6a - Net Debt input'!I45 = "","",'R6a - Net Debt input'!I45)</f>
        <v>RPI 12 month</v>
      </c>
      <c r="I37" s="706">
        <f>IF('R6a - Net Debt input'!J45 = "","",'R6a - Net Debt input'!J45)</f>
        <v>1.7711999999999999E-2</v>
      </c>
      <c r="J37" s="130"/>
      <c r="K37" s="131"/>
      <c r="L37" s="132"/>
      <c r="M37" s="779">
        <v>2.1</v>
      </c>
      <c r="N37" s="779">
        <v>4.9849968220885161</v>
      </c>
      <c r="O37" s="779">
        <v>2.7781429654988092</v>
      </c>
      <c r="P37" s="779">
        <v>1.9340979259809121</v>
      </c>
      <c r="Q37" s="779">
        <v>2.0346955915549376</v>
      </c>
      <c r="R37" s="779">
        <v>2.2907384093845717</v>
      </c>
      <c r="S37" s="779">
        <v>2.3594605616661113</v>
      </c>
      <c r="T37" s="779">
        <v>2.4302443785160932</v>
      </c>
      <c r="U37" s="779">
        <v>2.5031517098715756</v>
      </c>
      <c r="V37" s="779">
        <v>2.5782462611677248</v>
      </c>
    </row>
    <row r="38" spans="2:22" outlineLevel="1">
      <c r="B38" s="796" t="s">
        <v>973</v>
      </c>
      <c r="C38" s="771">
        <f>IF('R6a - Net Debt input'!D46 = "","",'R6a - Net Debt input'!D46)</f>
        <v>39112</v>
      </c>
      <c r="D38" s="771">
        <f>IF('R6a - Net Debt input'!E46 = "","",'R6a - Net Debt input'!E46)</f>
        <v>50070</v>
      </c>
      <c r="E38" s="703" t="str">
        <f>IF('R6a - Net Debt input'!F46 = "","",'R6a - Net Debt input'!F46)</f>
        <v>30 YR FLOATING RATE DEBT: PAY 12M/1Y RPI 1.6783% REAL RATE GBP 50.0 M MAT: 30-JAN-2037</v>
      </c>
      <c r="F38" s="704" t="str">
        <f>IF('R6a - Net Debt input'!G46 = "","",'R6a - Net Debt input'!G46)</f>
        <v>Inflation-linked</v>
      </c>
      <c r="G38" s="705" t="str">
        <f>IF('R6a - Net Debt input'!H46 = "","",'R6a - Net Debt input'!H46)</f>
        <v>Senior</v>
      </c>
      <c r="H38" s="704" t="str">
        <f>IF('R6a - Net Debt input'!I46 = "","",'R6a - Net Debt input'!I46)</f>
        <v>RPI 12 month</v>
      </c>
      <c r="I38" s="706">
        <f>IF('R6a - Net Debt input'!J46 = "","",'R6a - Net Debt input'!J46)</f>
        <v>1.6782999999999999E-2</v>
      </c>
      <c r="J38" s="130"/>
      <c r="K38" s="131"/>
      <c r="L38" s="132"/>
      <c r="M38" s="779">
        <v>4.7</v>
      </c>
      <c r="N38" s="779">
        <v>9.9027035435822963</v>
      </c>
      <c r="O38" s="779">
        <v>5.4606636988820236</v>
      </c>
      <c r="P38" s="779">
        <v>3.7607646568456117</v>
      </c>
      <c r="Q38" s="779">
        <v>3.9597200730739592</v>
      </c>
      <c r="R38" s="779">
        <v>4.4705363210288631</v>
      </c>
      <c r="S38" s="779">
        <v>4.6046524106597317</v>
      </c>
      <c r="T38" s="779">
        <v>4.7427919829795249</v>
      </c>
      <c r="U38" s="779">
        <v>4.8850757424689109</v>
      </c>
      <c r="V38" s="779">
        <v>5.0316280147429726</v>
      </c>
    </row>
    <row r="39" spans="2:22" outlineLevel="1">
      <c r="B39" s="796" t="s">
        <v>974</v>
      </c>
      <c r="C39" s="771">
        <f>IF('R6a - Net Debt input'!D47 = "","",'R6a - Net Debt input'!D47)</f>
        <v>39133</v>
      </c>
      <c r="D39" s="771">
        <f>IF('R6a - Net Debt input'!E47 = "","",'R6a - Net Debt input'!E47)</f>
        <v>50091</v>
      </c>
      <c r="E39" s="703" t="str">
        <f>IF('R6a - Net Debt input'!F47 = "","",'R6a - Net Debt input'!F47)</f>
        <v>30 YR FLOATING RATE DEBT: PAY 12M/1Y RPI 1.9158% REAL RATE GBP 100.0 M MAT: 20-FEB-2037</v>
      </c>
      <c r="F39" s="704" t="str">
        <f>IF('R6a - Net Debt input'!G47 = "","",'R6a - Net Debt input'!G47)</f>
        <v>Inflation-linked</v>
      </c>
      <c r="G39" s="705" t="str">
        <f>IF('R6a - Net Debt input'!H47 = "","",'R6a - Net Debt input'!H47)</f>
        <v>Senior</v>
      </c>
      <c r="H39" s="704" t="str">
        <f>IF('R6a - Net Debt input'!I47 = "","",'R6a - Net Debt input'!I47)</f>
        <v>RPI 12 month</v>
      </c>
      <c r="I39" s="706">
        <f>IF('R6a - Net Debt input'!J47 = "","",'R6a - Net Debt input'!J47)</f>
        <v>1.9158000000000001E-2</v>
      </c>
      <c r="J39" s="130"/>
      <c r="K39" s="131"/>
      <c r="L39" s="132"/>
      <c r="M39" s="779">
        <v>9.8000000000000007</v>
      </c>
      <c r="N39" s="779">
        <v>20.11631038696634</v>
      </c>
      <c r="O39" s="779">
        <v>11.259130986398029</v>
      </c>
      <c r="P39" s="779">
        <v>7.87237554542072</v>
      </c>
      <c r="Q39" s="779">
        <v>8.2790572883644487</v>
      </c>
      <c r="R39" s="779">
        <v>9.310467925742401</v>
      </c>
      <c r="S39" s="779">
        <v>9.5897819635146888</v>
      </c>
      <c r="T39" s="779">
        <v>9.8774754224201224</v>
      </c>
      <c r="U39" s="779">
        <v>10.173799685092719</v>
      </c>
      <c r="V39" s="779">
        <v>10.479013675645524</v>
      </c>
    </row>
    <row r="40" spans="2:22" outlineLevel="1">
      <c r="B40" s="796" t="s">
        <v>975</v>
      </c>
      <c r="C40" s="771">
        <f>IF('R6a - Net Debt input'!D48 = "","",'R6a - Net Debt input'!D48)</f>
        <v>39134</v>
      </c>
      <c r="D40" s="771">
        <f>IF('R6a - Net Debt input'!E48 = "","",'R6a - Net Debt input'!E48)</f>
        <v>50273</v>
      </c>
      <c r="E40" s="703" t="str">
        <f>IF('R6a - Net Debt input'!F48 = "","",'R6a - Net Debt input'!F48)</f>
        <v>30.5 YR FLOATING RATE DEBT: PAY 12M/1Y RPI 1.9350% REAL RATE GBP 25.0 M MAT: 21-AUG-2037</v>
      </c>
      <c r="F40" s="704" t="str">
        <f>IF('R6a - Net Debt input'!G48 = "","",'R6a - Net Debt input'!G48)</f>
        <v>Inflation-linked</v>
      </c>
      <c r="G40" s="705" t="str">
        <f>IF('R6a - Net Debt input'!H48 = "","",'R6a - Net Debt input'!H48)</f>
        <v>Senior</v>
      </c>
      <c r="H40" s="704" t="str">
        <f>IF('R6a - Net Debt input'!I48 = "","",'R6a - Net Debt input'!I48)</f>
        <v>RPI 12 month</v>
      </c>
      <c r="I40" s="706">
        <f>IF('R6a - Net Debt input'!J48 = "","",'R6a - Net Debt input'!J48)</f>
        <v>1.9349999999999999E-2</v>
      </c>
      <c r="J40" s="130"/>
      <c r="K40" s="131"/>
      <c r="L40" s="132"/>
      <c r="M40" s="779">
        <v>3.8</v>
      </c>
      <c r="N40" s="779">
        <v>5.1049331199077885</v>
      </c>
      <c r="O40" s="779">
        <v>2.8341735470147147</v>
      </c>
      <c r="P40" s="779">
        <v>1.9655058369998575</v>
      </c>
      <c r="Q40" s="779">
        <v>2.0683597848745965</v>
      </c>
      <c r="R40" s="779">
        <v>2.330969578894786</v>
      </c>
      <c r="S40" s="779">
        <v>2.4008986662616323</v>
      </c>
      <c r="T40" s="779">
        <v>2.4729256262494772</v>
      </c>
      <c r="U40" s="779">
        <v>2.5471133950369609</v>
      </c>
      <c r="V40" s="779">
        <v>2.6235267968880764</v>
      </c>
    </row>
    <row r="41" spans="2:22" outlineLevel="1">
      <c r="B41" s="796" t="s">
        <v>976</v>
      </c>
      <c r="C41" s="771">
        <f>IF('R6a - Net Debt input'!D49 = "","",'R6a - Net Debt input'!D49)</f>
        <v>39142</v>
      </c>
      <c r="D41" s="771">
        <f>IF('R6a - Net Debt input'!E49 = "","",'R6a - Net Debt input'!E49)</f>
        <v>50161</v>
      </c>
      <c r="E41" s="703" t="str">
        <f>IF('R6a - Net Debt input'!F49 = "","",'R6a - Net Debt input'!F49)</f>
        <v>30.2 YR FLOATING RATE DEBT: PAY 12M/1Y RPI 1.8928% REAL RATE GBP 50.0 M MAT: 01-MAY-2037</v>
      </c>
      <c r="F41" s="704" t="str">
        <f>IF('R6a - Net Debt input'!G49 = "","",'R6a - Net Debt input'!G49)</f>
        <v>Inflation-linked</v>
      </c>
      <c r="G41" s="705" t="str">
        <f>IF('R6a - Net Debt input'!H49 = "","",'R6a - Net Debt input'!H49)</f>
        <v>Senior</v>
      </c>
      <c r="H41" s="704" t="str">
        <f>IF('R6a - Net Debt input'!I49 = "","",'R6a - Net Debt input'!I49)</f>
        <v>RPI 12 month</v>
      </c>
      <c r="I41" s="706">
        <f>IF('R6a - Net Debt input'!J49 = "","",'R6a - Net Debt input'!J49)</f>
        <v>1.8928E-2</v>
      </c>
      <c r="J41" s="130"/>
      <c r="K41" s="131"/>
      <c r="L41" s="132"/>
      <c r="M41" s="779">
        <v>4.5999999999999996</v>
      </c>
      <c r="N41" s="779">
        <v>10.035413442987542</v>
      </c>
      <c r="O41" s="779">
        <v>5.5868480663699254</v>
      </c>
      <c r="P41" s="779">
        <v>3.8853274397903399</v>
      </c>
      <c r="Q41" s="779">
        <v>4.0877534703751515</v>
      </c>
      <c r="R41" s="779">
        <v>4.6034210930474408</v>
      </c>
      <c r="S41" s="779">
        <v>4.7415237258388743</v>
      </c>
      <c r="T41" s="779">
        <v>4.8837694376140348</v>
      </c>
      <c r="U41" s="779">
        <v>5.0302825207424497</v>
      </c>
      <c r="V41" s="779">
        <v>5.1811909963647285</v>
      </c>
    </row>
    <row r="42" spans="2:22" outlineLevel="1">
      <c r="B42" s="796" t="s">
        <v>977</v>
      </c>
      <c r="C42" s="771">
        <f>IF('R6a - Net Debt input'!D50 = "","",'R6a - Net Debt input'!D50)</f>
        <v>39141</v>
      </c>
      <c r="D42" s="771">
        <f>IF('R6a - Net Debt input'!E50 = "","",'R6a - Net Debt input'!E50)</f>
        <v>50161</v>
      </c>
      <c r="E42" s="703" t="str">
        <f>IF('R6a - Net Debt input'!F50 = "","",'R6a - Net Debt input'!F50)</f>
        <v>30.2 YR FLOATING RATE DEBT: PAY 12M/1Y RPI 1.9211% REAL RATE GBP 65.0 M MAT: 01-MAY-2037</v>
      </c>
      <c r="F42" s="704" t="str">
        <f>IF('R6a - Net Debt input'!G50 = "","",'R6a - Net Debt input'!G50)</f>
        <v>Inflation-linked</v>
      </c>
      <c r="G42" s="705" t="str">
        <f>IF('R6a - Net Debt input'!H50 = "","",'R6a - Net Debt input'!H50)</f>
        <v>Senior</v>
      </c>
      <c r="H42" s="704" t="str">
        <f>IF('R6a - Net Debt input'!I50 = "","",'R6a - Net Debt input'!I50)</f>
        <v>RPI 12 month</v>
      </c>
      <c r="I42" s="706">
        <f>IF('R6a - Net Debt input'!J50 = "","",'R6a - Net Debt input'!J50)</f>
        <v>1.9210999999999999E-2</v>
      </c>
      <c r="J42" s="130"/>
      <c r="K42" s="131"/>
      <c r="L42" s="132"/>
      <c r="M42" s="779">
        <v>6</v>
      </c>
      <c r="N42" s="779">
        <v>13.141302095606262</v>
      </c>
      <c r="O42" s="779">
        <v>7.3587562910425195</v>
      </c>
      <c r="P42" s="779">
        <v>5.1477206334451333</v>
      </c>
      <c r="Q42" s="779">
        <v>5.4134458481177701</v>
      </c>
      <c r="R42" s="779">
        <v>6.0870978595301679</v>
      </c>
      <c r="S42" s="779">
        <v>6.2697107953160796</v>
      </c>
      <c r="T42" s="779">
        <v>6.4578021191755646</v>
      </c>
      <c r="U42" s="779">
        <v>6.6515361827508297</v>
      </c>
      <c r="V42" s="779">
        <v>6.8510822682333394</v>
      </c>
    </row>
    <row r="43" spans="2:22" outlineLevel="1">
      <c r="B43" s="796" t="s">
        <v>978</v>
      </c>
      <c r="C43" s="771">
        <f>IF('R6a - Net Debt input'!D51 = "","",'R6a - Net Debt input'!D51)</f>
        <v>39157</v>
      </c>
      <c r="D43" s="771">
        <f>IF('R6a - Net Debt input'!E51 = "","",'R6a - Net Debt input'!E51)</f>
        <v>50146</v>
      </c>
      <c r="E43" s="703" t="str">
        <f>IF('R6a - Net Debt input'!F51 = "","",'R6a - Net Debt input'!F51)</f>
        <v>30.1 YR FLOATING RATE DEBT: PAY 12M/1Y RPI 1.7642% REAL RATE GBP 50.0 M MAT: 16-APR-2037</v>
      </c>
      <c r="F43" s="704" t="str">
        <f>IF('R6a - Net Debt input'!G51 = "","",'R6a - Net Debt input'!G51)</f>
        <v>Inflation-linked</v>
      </c>
      <c r="G43" s="705" t="str">
        <f>IF('R6a - Net Debt input'!H51 = "","",'R6a - Net Debt input'!H51)</f>
        <v>Senior</v>
      </c>
      <c r="H43" s="704" t="str">
        <f>IF('R6a - Net Debt input'!I51 = "","",'R6a - Net Debt input'!I51)</f>
        <v>RPI 12 month</v>
      </c>
      <c r="I43" s="706">
        <f>IF('R6a - Net Debt input'!J51 = "","",'R6a - Net Debt input'!J51)</f>
        <v>1.7642000000000001E-2</v>
      </c>
      <c r="J43" s="130"/>
      <c r="K43" s="131"/>
      <c r="L43" s="132"/>
      <c r="M43" s="779">
        <v>4.7</v>
      </c>
      <c r="N43" s="779">
        <v>9.9245101431857901</v>
      </c>
      <c r="O43" s="779">
        <v>5.4708510773394545</v>
      </c>
      <c r="P43" s="779">
        <v>3.7664751861217836</v>
      </c>
      <c r="Q43" s="779">
        <v>3.965840835495718</v>
      </c>
      <c r="R43" s="779">
        <v>4.4778510791216242</v>
      </c>
      <c r="S43" s="779">
        <v>4.6121866114952823</v>
      </c>
      <c r="T43" s="779">
        <v>4.7505522098401363</v>
      </c>
      <c r="U43" s="779">
        <v>4.8930687761353342</v>
      </c>
      <c r="V43" s="779">
        <v>5.0398608394193989</v>
      </c>
    </row>
    <row r="44" spans="2:22" outlineLevel="1">
      <c r="B44" s="796" t="s">
        <v>979</v>
      </c>
      <c r="C44" s="771">
        <f>IF('R6a - Net Debt input'!D52 = "","",'R6a - Net Debt input'!D52)</f>
        <v>39169</v>
      </c>
      <c r="D44" s="771">
        <f>IF('R6a - Net Debt input'!E52 = "","",'R6a - Net Debt input'!E52)</f>
        <v>50280</v>
      </c>
      <c r="E44" s="703" t="str">
        <f>IF('R6a - Net Debt input'!F52 = "","",'R6a - Net Debt input'!F52)</f>
        <v>30.4 YR FLOATING RATE DEBT: PAY 12M/1Y RPI 1.7762% REAL RATE GBP 100.0 M MAT: 28-AUG-2037</v>
      </c>
      <c r="F44" s="704" t="str">
        <f>IF('R6a - Net Debt input'!G52 = "","",'R6a - Net Debt input'!G52)</f>
        <v>Inflation-linked</v>
      </c>
      <c r="G44" s="705" t="str">
        <f>IF('R6a - Net Debt input'!H52 = "","",'R6a - Net Debt input'!H52)</f>
        <v>Senior</v>
      </c>
      <c r="H44" s="704" t="str">
        <f>IF('R6a - Net Debt input'!I52 = "","",'R6a - Net Debt input'!I52)</f>
        <v>RPI 12 month</v>
      </c>
      <c r="I44" s="706">
        <f>IF('R6a - Net Debt input'!J52 = "","",'R6a - Net Debt input'!J52)</f>
        <v>1.7762E-2</v>
      </c>
      <c r="J44" s="130"/>
      <c r="K44" s="131"/>
      <c r="L44" s="132"/>
      <c r="M44" s="779">
        <v>9.3000000000000007</v>
      </c>
      <c r="N44" s="779">
        <v>19.850890588155821</v>
      </c>
      <c r="O44" s="779">
        <v>11.006762251422197</v>
      </c>
      <c r="P44" s="779">
        <v>7.6232499795312645</v>
      </c>
      <c r="Q44" s="779">
        <v>8.0229904937620908</v>
      </c>
      <c r="R44" s="779">
        <v>9.0446983817052455</v>
      </c>
      <c r="S44" s="779">
        <v>9.3160393331564038</v>
      </c>
      <c r="T44" s="779">
        <v>9.5955205131511008</v>
      </c>
      <c r="U44" s="779">
        <v>9.8833861285456397</v>
      </c>
      <c r="V44" s="779">
        <v>10.17988771240201</v>
      </c>
    </row>
    <row r="45" spans="2:22" outlineLevel="1">
      <c r="B45" s="796" t="s">
        <v>980</v>
      </c>
      <c r="C45" s="771">
        <f>IF('R6a - Net Debt input'!D53 = "","",'R6a - Net Debt input'!D53)</f>
        <v>39176</v>
      </c>
      <c r="D45" s="771">
        <f>IF('R6a - Net Debt input'!E53 = "","",'R6a - Net Debt input'!E53)</f>
        <v>50864</v>
      </c>
      <c r="E45" s="703" t="str">
        <f>IF('R6a - Net Debt input'!F53 = "","",'R6a - Net Debt input'!F53)</f>
        <v>32 YR FLOATING RATE DEBT: PAY 12M/1Y RPI 1.7744% REAL RATE GBP 100.0 M MAT: 04-APR-2039</v>
      </c>
      <c r="F45" s="704" t="str">
        <f>IF('R6a - Net Debt input'!G53 = "","",'R6a - Net Debt input'!G53)</f>
        <v>Inflation-linked</v>
      </c>
      <c r="G45" s="705" t="str">
        <f>IF('R6a - Net Debt input'!H53 = "","",'R6a - Net Debt input'!H53)</f>
        <v>Senior</v>
      </c>
      <c r="H45" s="704" t="str">
        <f>IF('R6a - Net Debt input'!I53 = "","",'R6a - Net Debt input'!I53)</f>
        <v>RPI 12 month</v>
      </c>
      <c r="I45" s="706">
        <f>IF('R6a - Net Debt input'!J53 = "","",'R6a - Net Debt input'!J53)</f>
        <v>1.7743999999999999E-2</v>
      </c>
      <c r="J45" s="130"/>
      <c r="K45" s="131"/>
      <c r="L45" s="132"/>
      <c r="M45" s="779">
        <v>9.6999999999999993</v>
      </c>
      <c r="N45" s="779">
        <v>19.838116986569826</v>
      </c>
      <c r="O45" s="779">
        <v>10.936608465450194</v>
      </c>
      <c r="P45" s="779">
        <v>7.5300951076054954</v>
      </c>
      <c r="Q45" s="779">
        <v>7.9286212897805353</v>
      </c>
      <c r="R45" s="779">
        <v>8.9520447791968607</v>
      </c>
      <c r="S45" s="779">
        <v>9.2206061225727893</v>
      </c>
      <c r="T45" s="779">
        <v>9.4972243062499597</v>
      </c>
      <c r="U45" s="779">
        <v>9.7821410354374567</v>
      </c>
      <c r="V45" s="779">
        <v>10.075605266500578</v>
      </c>
    </row>
    <row r="46" spans="2:22" outlineLevel="1">
      <c r="B46" s="796" t="s">
        <v>981</v>
      </c>
      <c r="C46" s="771">
        <f>IF('R6a - Net Debt input'!D54 = "","",'R6a - Net Debt input'!D54)</f>
        <v>39316</v>
      </c>
      <c r="D46" s="771">
        <f>IF('R6a - Net Debt input'!E54 = "","",'R6a - Net Debt input'!E54)</f>
        <v>55753</v>
      </c>
      <c r="E46" s="703" t="str">
        <f>IF('R6a - Net Debt input'!F54 = "","",'R6a - Net Debt input'!F54)</f>
        <v>45 YR FLOATING RATE DEBT: PAY 12M/1Y RPI 1.5803% REAL RATE GBP 75.0 M MAT: 22-AUG-2052</v>
      </c>
      <c r="F46" s="704" t="str">
        <f>IF('R6a - Net Debt input'!G54 = "","",'R6a - Net Debt input'!G54)</f>
        <v>Inflation-linked</v>
      </c>
      <c r="G46" s="705" t="str">
        <f>IF('R6a - Net Debt input'!H54 = "","",'R6a - Net Debt input'!H54)</f>
        <v>Senior</v>
      </c>
      <c r="H46" s="704" t="str">
        <f>IF('R6a - Net Debt input'!I54 = "","",'R6a - Net Debt input'!I54)</f>
        <v>RPI 12 month</v>
      </c>
      <c r="I46" s="706">
        <f>IF('R6a - Net Debt input'!J54 = "","",'R6a - Net Debt input'!J54)</f>
        <v>1.5803000000000001E-2</v>
      </c>
      <c r="J46" s="130"/>
      <c r="K46" s="131"/>
      <c r="L46" s="132"/>
      <c r="M46" s="779">
        <v>6.8</v>
      </c>
      <c r="N46" s="779">
        <v>14.393311271023501</v>
      </c>
      <c r="O46" s="779">
        <v>7.8794704556019051</v>
      </c>
      <c r="P46" s="779">
        <v>5.3857764595372624</v>
      </c>
      <c r="Q46" s="779">
        <v>5.6740808645980643</v>
      </c>
      <c r="R46" s="779">
        <v>6.4187002264022226</v>
      </c>
      <c r="S46" s="779">
        <v>6.6112612331942984</v>
      </c>
      <c r="T46" s="779">
        <v>6.8095990701901119</v>
      </c>
      <c r="U46" s="779">
        <v>7.0138870422958259</v>
      </c>
      <c r="V46" s="779">
        <v>7.2243036535646876</v>
      </c>
    </row>
    <row r="47" spans="2:22" outlineLevel="1">
      <c r="B47" s="796" t="s">
        <v>982</v>
      </c>
      <c r="C47" s="771">
        <f>IF('R6a - Net Debt input'!D55 = "","",'R6a - Net Debt input'!D55)</f>
        <v>39381</v>
      </c>
      <c r="D47" s="771">
        <f>IF('R6a - Net Debt input'!E55 = "","",'R6a - Net Debt input'!E55)</f>
        <v>50339</v>
      </c>
      <c r="E47" s="703" t="str">
        <f>IF('R6a - Net Debt input'!F55 = "","",'R6a - Net Debt input'!F55)</f>
        <v>30 YR FLOATING RATE DEBT: PAY 12M/1Y RPI 1.8080% REAL RATE GBP 25.0 M MAT: 26-OCT-2037</v>
      </c>
      <c r="F47" s="704" t="str">
        <f>IF('R6a - Net Debt input'!G55 = "","",'R6a - Net Debt input'!G55)</f>
        <v>Inflation-linked</v>
      </c>
      <c r="G47" s="705" t="str">
        <f>IF('R6a - Net Debt input'!H55 = "","",'R6a - Net Debt input'!H55)</f>
        <v>Senior</v>
      </c>
      <c r="H47" s="704" t="str">
        <f>IF('R6a - Net Debt input'!I55 = "","",'R6a - Net Debt input'!I55)</f>
        <v>RPI 12 month</v>
      </c>
      <c r="I47" s="706">
        <f>IF('R6a - Net Debt input'!J55 = "","",'R6a - Net Debt input'!J55)</f>
        <v>1.8079999999999999E-2</v>
      </c>
      <c r="J47" s="130"/>
      <c r="K47" s="131"/>
      <c r="L47" s="132"/>
      <c r="M47" s="779">
        <v>3.4</v>
      </c>
      <c r="N47" s="779">
        <v>4.9959001218902701</v>
      </c>
      <c r="O47" s="779">
        <v>2.7832366547275247</v>
      </c>
      <c r="P47" s="779">
        <v>1.9369531906189981</v>
      </c>
      <c r="Q47" s="779">
        <v>2.037755972765817</v>
      </c>
      <c r="R47" s="779">
        <v>2.2943957884309594</v>
      </c>
      <c r="S47" s="779">
        <v>2.3632276620838866</v>
      </c>
      <c r="T47" s="779">
        <v>2.4341244919463989</v>
      </c>
      <c r="U47" s="779">
        <v>2.5071482267047944</v>
      </c>
      <c r="V47" s="779">
        <v>2.582362673505938</v>
      </c>
    </row>
    <row r="48" spans="2:22" outlineLevel="1">
      <c r="B48" s="796" t="s">
        <v>983</v>
      </c>
      <c r="C48" s="771">
        <f>IF('R6a - Net Debt input'!D56 = "","",'R6a - Net Debt input'!D56)</f>
        <v>40388</v>
      </c>
      <c r="D48" s="771">
        <f>IF('R6a - Net Debt input'!E56 = "","",'R6a - Net Debt input'!E56)</f>
        <v>51711</v>
      </c>
      <c r="E48" s="703" t="str">
        <f>IF('R6a - Net Debt input'!F56 = "","",'R6a - Net Debt input'!F56)</f>
        <v>31 YR FLOATING RATE DEBT: PAY 12M/1Y RPI 2.4840% REAL RATE GBP 50.0 M MAT: 29-JUL-2041</v>
      </c>
      <c r="F48" s="704" t="str">
        <f>IF('R6a - Net Debt input'!G56 = "","",'R6a - Net Debt input'!G56)</f>
        <v>Inflation-linked</v>
      </c>
      <c r="G48" s="705" t="str">
        <f>IF('R6a - Net Debt input'!H56 = "","",'R6a - Net Debt input'!H56)</f>
        <v>Senior</v>
      </c>
      <c r="H48" s="704" t="str">
        <f>IF('R6a - Net Debt input'!I56 = "","",'R6a - Net Debt input'!I56)</f>
        <v>RPI 12 month</v>
      </c>
      <c r="I48" s="706">
        <f>IF('R6a - Net Debt input'!J56 = "","",'R6a - Net Debt input'!J56)</f>
        <v>2.4840000000000001E-2</v>
      </c>
      <c r="J48" s="130"/>
      <c r="K48" s="131"/>
      <c r="L48" s="132"/>
      <c r="M48" s="779">
        <v>5.4</v>
      </c>
      <c r="N48" s="779">
        <v>4.0999999999999996</v>
      </c>
      <c r="O48" s="779">
        <v>2.4</v>
      </c>
      <c r="P48" s="779">
        <v>1.2</v>
      </c>
      <c r="Q48" s="779">
        <v>1.2</v>
      </c>
      <c r="R48" s="779">
        <v>3.3</v>
      </c>
      <c r="S48" s="779">
        <v>1.3</v>
      </c>
      <c r="T48" s="779">
        <v>1.2</v>
      </c>
      <c r="U48" s="779">
        <v>1.1000000000000001</v>
      </c>
      <c r="V48" s="779">
        <v>1</v>
      </c>
    </row>
    <row r="49" spans="2:29" outlineLevel="1">
      <c r="B49" s="796" t="s">
        <v>984</v>
      </c>
      <c r="C49" s="771">
        <f>IF('R6a - Net Debt input'!D57 = "","",'R6a - Net Debt input'!D57)</f>
        <v>33546</v>
      </c>
      <c r="D49" s="771">
        <f>IF('R6a - Net Debt input'!E57 = "","",'R6a - Net Debt input'!E57)</f>
        <v>44504</v>
      </c>
      <c r="E49" s="703" t="str">
        <f>IF('R6a - Net Debt input'!F57 = "","",'R6a - Net Debt input'!F57)</f>
        <v>30 YR DISCOUNT DEBT Issued: PRICE 8.52% USD 1474.0 M MAT: 04-NOV-2021</v>
      </c>
      <c r="F49" s="704" t="str">
        <f>IF('R6a - Net Debt input'!G57 = "","",'R6a - Net Debt input'!G57)</f>
        <v>Fixed rate</v>
      </c>
      <c r="G49" s="705" t="str">
        <f>IF('R6a - Net Debt input'!H57 = "","",'R6a - Net Debt input'!H57)</f>
        <v>Senior</v>
      </c>
      <c r="H49" s="704" t="str">
        <f>IF('R6a - Net Debt input'!I57 = "","",'R6a - Net Debt input'!I57)</f>
        <v>Not applicable</v>
      </c>
      <c r="I49" s="706">
        <f>IF('R6a - Net Debt input'!J57 = "","",'R6a - Net Debt input'!J57)</f>
        <v>8.5199999999999998E-2</v>
      </c>
      <c r="J49" s="130"/>
      <c r="K49" s="131"/>
      <c r="L49" s="132"/>
      <c r="M49" s="779">
        <v>12.5</v>
      </c>
      <c r="N49" s="779">
        <v>0</v>
      </c>
      <c r="O49" s="779">
        <v>0</v>
      </c>
      <c r="P49" s="779">
        <v>0</v>
      </c>
      <c r="Q49" s="779">
        <v>0</v>
      </c>
      <c r="R49" s="779">
        <v>0</v>
      </c>
      <c r="S49" s="779">
        <v>0</v>
      </c>
      <c r="T49" s="779">
        <v>0</v>
      </c>
      <c r="U49" s="779">
        <v>0</v>
      </c>
      <c r="V49" s="779">
        <v>0</v>
      </c>
    </row>
    <row r="50" spans="2:29" outlineLevel="1">
      <c r="B50" s="796" t="s">
        <v>985</v>
      </c>
      <c r="C50" s="771">
        <f>IF('R6a - Net Debt input'!D58 = "","",'R6a - Net Debt input'!D58)</f>
        <v>43861</v>
      </c>
      <c r="D50" s="771">
        <f>IF('R6a - Net Debt input'!E58 = "","",'R6a - Net Debt input'!E58)</f>
        <v>47886</v>
      </c>
      <c r="E50" s="703" t="str">
        <f>IF('R6a - Net Debt input'!F58 = "","",'R6a - Net Debt input'!F58)</f>
        <v>11.0 YR FIXED RATE DEBT: PAY 1.37500% GBP 300.0 M MAT: 07-FEB-2031</v>
      </c>
      <c r="F50" s="704" t="str">
        <f>IF('R6a - Net Debt input'!G58 = "","",'R6a - Net Debt input'!G58)</f>
        <v>Fixed rate</v>
      </c>
      <c r="G50" s="705" t="str">
        <f>IF('R6a - Net Debt input'!H58 = "","",'R6a - Net Debt input'!H58)</f>
        <v>Senior</v>
      </c>
      <c r="H50" s="704" t="str">
        <f>IF('R6a - Net Debt input'!I58 = "","",'R6a - Net Debt input'!I58)</f>
        <v>Not applicable</v>
      </c>
      <c r="I50" s="706">
        <f>IF('R6a - Net Debt input'!J58 = "","",'R6a - Net Debt input'!J58)</f>
        <v>1.375E-2</v>
      </c>
      <c r="J50" s="130"/>
      <c r="K50" s="131"/>
      <c r="L50" s="132"/>
      <c r="M50" s="779">
        <v>4.5</v>
      </c>
      <c r="N50" s="779">
        <v>4.3837047900000004</v>
      </c>
      <c r="O50" s="779">
        <v>4.4054803399999996</v>
      </c>
      <c r="P50" s="779">
        <v>4.3855262000000002</v>
      </c>
      <c r="Q50" s="779">
        <v>4.3955846799999998</v>
      </c>
      <c r="R50" s="779">
        <v>4.3957474900000006</v>
      </c>
      <c r="S50" s="779">
        <v>4.4054803399999996</v>
      </c>
      <c r="T50" s="779">
        <v>4.3855262000000002</v>
      </c>
      <c r="U50" s="779">
        <v>4.3955846799999998</v>
      </c>
      <c r="V50" s="779">
        <v>3.7693643999999997</v>
      </c>
    </row>
    <row r="51" spans="2:29" outlineLevel="1">
      <c r="B51" s="796" t="s">
        <v>986</v>
      </c>
      <c r="C51" s="771">
        <f>IF('R6a - Net Debt input'!D59 = "","",'R6a - Net Debt input'!D59)</f>
        <v>44210</v>
      </c>
      <c r="D51" s="771">
        <f>IF('R6a - Net Debt input'!E59 = "","",'R6a - Net Debt input'!E59)</f>
        <v>48593</v>
      </c>
      <c r="E51" s="703" t="str">
        <f>IF('R6a - Net Debt input'!F59 = "","",'R6a - Net Debt input'!F59)</f>
        <v>12 YR FIXED RATE DEBT: PAY 1.12500% GBP 250.0 M MAT: 14-JAN-2033</v>
      </c>
      <c r="F51" s="704" t="str">
        <f>IF('R6a - Net Debt input'!G59 = "","",'R6a - Net Debt input'!G59)</f>
        <v>Fixed rate</v>
      </c>
      <c r="G51" s="705" t="str">
        <f>IF('R6a - Net Debt input'!H59 = "","",'R6a - Net Debt input'!H59)</f>
        <v>Senior</v>
      </c>
      <c r="H51" s="704" t="str">
        <f>IF('R6a - Net Debt input'!I59 = "","",'R6a - Net Debt input'!I59)</f>
        <v>Not applicable</v>
      </c>
      <c r="I51" s="706">
        <f>IF('R6a - Net Debt input'!J59 = "","",'R6a - Net Debt input'!J59)</f>
        <v>1.125E-2</v>
      </c>
      <c r="J51" s="130"/>
      <c r="K51" s="131"/>
      <c r="L51" s="132"/>
      <c r="M51" s="779">
        <v>3</v>
      </c>
      <c r="N51" s="779">
        <v>2.9677498399999998</v>
      </c>
      <c r="O51" s="779">
        <v>2.9821531400000003</v>
      </c>
      <c r="P51" s="779">
        <v>2.9694815600000002</v>
      </c>
      <c r="Q51" s="779">
        <v>2.9758458500000002</v>
      </c>
      <c r="R51" s="779">
        <v>2.9759028400000003</v>
      </c>
      <c r="S51" s="779">
        <v>2.9821531400000003</v>
      </c>
      <c r="T51" s="779">
        <v>2.9694815600000002</v>
      </c>
      <c r="U51" s="779">
        <v>2.9758458500000002</v>
      </c>
      <c r="V51" s="779">
        <v>2.9759028400000003</v>
      </c>
    </row>
    <row r="52" spans="2:29" outlineLevel="1">
      <c r="B52" s="796" t="s">
        <v>987</v>
      </c>
      <c r="C52" s="771">
        <f>IF('R6a - Net Debt input'!D60 = "","",'R6a - Net Debt input'!D60)</f>
        <v>44210</v>
      </c>
      <c r="D52" s="771">
        <f>IF('R6a - Net Debt input'!E60 = "","",'R6a - Net Debt input'!E60)</f>
        <v>52245</v>
      </c>
      <c r="E52" s="703" t="str">
        <f>IF('R6a - Net Debt input'!F60 = "","",'R6a - Net Debt input'!F60)</f>
        <v>22 YR FIXED RATE DEBT: PAY 1.62500% GBP 250.0 M MAT: 14-JAN-2043</v>
      </c>
      <c r="F52" s="704" t="str">
        <f>IF('R6a - Net Debt input'!G60 = "","",'R6a - Net Debt input'!G60)</f>
        <v>Fixed rate</v>
      </c>
      <c r="G52" s="705" t="str">
        <f>IF('R6a - Net Debt input'!H60 = "","",'R6a - Net Debt input'!H60)</f>
        <v>Senior</v>
      </c>
      <c r="H52" s="704" t="str">
        <f>IF('R6a - Net Debt input'!I60 = "","",'R6a - Net Debt input'!I60)</f>
        <v>Not applicable</v>
      </c>
      <c r="I52" s="706">
        <f>IF('R6a - Net Debt input'!J60 = "","",'R6a - Net Debt input'!J60)</f>
        <v>1.6250000000000001E-2</v>
      </c>
      <c r="J52" s="130"/>
      <c r="K52" s="131"/>
      <c r="L52" s="132"/>
      <c r="M52" s="779">
        <v>4.2</v>
      </c>
      <c r="N52" s="779">
        <v>4.1195630000000003</v>
      </c>
      <c r="O52" s="779">
        <v>4.1395620900000001</v>
      </c>
      <c r="P52" s="779">
        <v>4.1219514299999993</v>
      </c>
      <c r="Q52" s="779">
        <v>4.13079792</v>
      </c>
      <c r="R52" s="779">
        <v>4.1308802399999998</v>
      </c>
      <c r="S52" s="779">
        <v>4.1395620900000001</v>
      </c>
      <c r="T52" s="779">
        <v>4.1219514299999993</v>
      </c>
      <c r="U52" s="779">
        <v>4.13079792</v>
      </c>
      <c r="V52" s="779">
        <v>4.1308802399999998</v>
      </c>
    </row>
    <row r="53" spans="2:29" outlineLevel="1">
      <c r="C53" s="98"/>
      <c r="E53" s="98"/>
      <c r="F53" s="98"/>
      <c r="L53" s="536" t="s">
        <v>309</v>
      </c>
      <c r="M53" s="780">
        <f t="shared" ref="M53:V53" si="1">SUM(M19:M52)</f>
        <v>240.5</v>
      </c>
      <c r="N53" s="780">
        <f t="shared" si="1"/>
        <v>312.13248367777317</v>
      </c>
      <c r="O53" s="780">
        <f t="shared" si="1"/>
        <v>186.93500112387397</v>
      </c>
      <c r="P53" s="780">
        <f t="shared" si="1"/>
        <v>136.85870625217041</v>
      </c>
      <c r="Q53" s="780">
        <f t="shared" si="1"/>
        <v>137.25809964822048</v>
      </c>
      <c r="R53" s="780">
        <f t="shared" si="1"/>
        <v>153.21278183368005</v>
      </c>
      <c r="S53" s="780">
        <f t="shared" si="1"/>
        <v>154.74104556129043</v>
      </c>
      <c r="T53" s="780">
        <f t="shared" si="1"/>
        <v>156.19995684812906</v>
      </c>
      <c r="U53" s="780">
        <f t="shared" si="1"/>
        <v>154.53452688097312</v>
      </c>
      <c r="V53" s="780">
        <f t="shared" si="1"/>
        <v>155.87742826470222</v>
      </c>
    </row>
    <row r="54" spans="2:29" outlineLevel="1">
      <c r="C54" s="98"/>
      <c r="E54" s="103"/>
      <c r="F54" s="103"/>
      <c r="L54" s="192"/>
      <c r="M54" s="103"/>
      <c r="N54" s="103"/>
      <c r="O54" s="103"/>
      <c r="P54" s="103"/>
      <c r="Q54" s="103"/>
      <c r="R54" s="103"/>
      <c r="S54" s="103"/>
      <c r="T54" s="103"/>
      <c r="U54" s="181"/>
      <c r="V54" s="103"/>
      <c r="W54" s="103"/>
      <c r="X54" s="103"/>
      <c r="Y54" s="103"/>
      <c r="Z54" s="103"/>
      <c r="AA54" s="103"/>
      <c r="AB54" s="103"/>
      <c r="AC54" s="103"/>
    </row>
    <row r="55" spans="2:29" ht="17.5" outlineLevel="1">
      <c r="D55" s="166" t="s">
        <v>403</v>
      </c>
      <c r="E55" s="167"/>
      <c r="F55" s="167"/>
      <c r="G55" s="167"/>
      <c r="H55" s="167"/>
      <c r="I55" s="167"/>
      <c r="J55" s="167"/>
      <c r="K55" s="167"/>
      <c r="L55" s="193"/>
      <c r="M55" s="167"/>
      <c r="N55" s="167"/>
      <c r="O55" s="167"/>
      <c r="P55" s="167"/>
      <c r="Q55" s="167"/>
      <c r="R55" s="167"/>
      <c r="S55" s="167"/>
      <c r="T55" s="167"/>
      <c r="U55" s="180"/>
      <c r="V55" s="167"/>
    </row>
    <row r="56" spans="2:29" ht="17.5" outlineLevel="1">
      <c r="D56" s="102"/>
      <c r="L56" s="114"/>
      <c r="U56" s="179"/>
    </row>
    <row r="57" spans="2:29" ht="40.5" outlineLevel="1">
      <c r="B57" s="697" t="s">
        <v>404</v>
      </c>
      <c r="C57" s="698" t="str">
        <f t="shared" ref="C57:I59" si="2">C17</f>
        <v>Issue date</v>
      </c>
      <c r="D57" s="698" t="str">
        <f t="shared" si="2"/>
        <v>Maturity date</v>
      </c>
      <c r="E57" s="698" t="str">
        <f t="shared" si="2"/>
        <v>Description</v>
      </c>
      <c r="F57" s="698" t="str">
        <f t="shared" si="2"/>
        <v>Bond type</v>
      </c>
      <c r="G57" s="698" t="str">
        <f t="shared" si="2"/>
        <v>Payment rank</v>
      </c>
      <c r="H57" s="699" t="str">
        <f t="shared" si="2"/>
        <v>Reference rate</v>
      </c>
      <c r="I57" s="699" t="str">
        <f t="shared" si="2"/>
        <v>Coupon rate / margin spread on reference rate</v>
      </c>
      <c r="L57" s="114"/>
      <c r="U57" s="179"/>
    </row>
    <row r="58" spans="2:29" outlineLevel="1">
      <c r="B58" s="537"/>
      <c r="C58" s="698" t="str">
        <f t="shared" si="2"/>
        <v>dd/mm/yyyy</v>
      </c>
      <c r="D58" s="708" t="str">
        <f t="shared" si="2"/>
        <v>dd/mm/yyyy</v>
      </c>
      <c r="E58" s="698" t="str">
        <f t="shared" si="2"/>
        <v/>
      </c>
      <c r="F58" s="698" t="str">
        <f t="shared" si="2"/>
        <v/>
      </c>
      <c r="G58" s="698" t="str">
        <f t="shared" si="2"/>
        <v/>
      </c>
      <c r="H58" s="698" t="str">
        <f t="shared" si="2"/>
        <v/>
      </c>
      <c r="I58" s="698" t="str">
        <f t="shared" si="2"/>
        <v>%</v>
      </c>
      <c r="L58" s="114"/>
      <c r="M58" s="707" t="s">
        <v>398</v>
      </c>
      <c r="N58" s="707" t="s">
        <v>398</v>
      </c>
      <c r="O58" s="707" t="s">
        <v>398</v>
      </c>
      <c r="P58" s="707" t="s">
        <v>398</v>
      </c>
      <c r="Q58" s="707" t="s">
        <v>398</v>
      </c>
      <c r="R58" s="707" t="s">
        <v>398</v>
      </c>
      <c r="S58" s="707" t="s">
        <v>398</v>
      </c>
      <c r="T58" s="707" t="s">
        <v>398</v>
      </c>
      <c r="U58" s="707" t="s">
        <v>398</v>
      </c>
      <c r="V58" s="707" t="s">
        <v>398</v>
      </c>
    </row>
    <row r="59" spans="2:29" outlineLevel="1">
      <c r="B59" s="796" t="s">
        <v>399</v>
      </c>
      <c r="C59" s="709">
        <f t="shared" si="2"/>
        <v>34373</v>
      </c>
      <c r="D59" s="709">
        <f t="shared" si="2"/>
        <v>52635</v>
      </c>
      <c r="E59" s="710" t="str">
        <f t="shared" si="2"/>
        <v>50 YR FIXED RATE DEBT: PAY 7.12500% GBP 28.2 M MAT: 08-FEB-2044</v>
      </c>
      <c r="F59" s="711" t="str">
        <f t="shared" si="2"/>
        <v>Fixed rate</v>
      </c>
      <c r="G59" s="712" t="str">
        <f t="shared" si="2"/>
        <v>Senior</v>
      </c>
      <c r="H59" s="711" t="str">
        <f t="shared" si="2"/>
        <v>Not applicable</v>
      </c>
      <c r="I59" s="713">
        <f t="shared" si="2"/>
        <v>7.1249999999999994E-2</v>
      </c>
      <c r="J59" s="130"/>
      <c r="K59" s="131"/>
      <c r="L59" s="132"/>
      <c r="M59" s="779">
        <v>0.7</v>
      </c>
      <c r="N59" s="779">
        <v>0.72792858999999999</v>
      </c>
      <c r="O59" s="779">
        <v>0.72995624999999997</v>
      </c>
      <c r="P59" s="779">
        <v>0.72995624999999997</v>
      </c>
      <c r="Q59" s="779">
        <v>0.72995624999999997</v>
      </c>
      <c r="R59" s="779">
        <v>0.72995624999999997</v>
      </c>
      <c r="S59" s="779">
        <v>0.72995624999999997</v>
      </c>
      <c r="T59" s="779">
        <v>0.72995624999999997</v>
      </c>
      <c r="U59" s="779">
        <v>0.72995624999999997</v>
      </c>
      <c r="V59" s="779">
        <v>0.72995624999999997</v>
      </c>
    </row>
    <row r="60" spans="2:29" outlineLevel="1">
      <c r="B60" s="796" t="s">
        <v>400</v>
      </c>
      <c r="C60" s="709">
        <f t="shared" ref="C60:I60" si="3">C20</f>
        <v>34877</v>
      </c>
      <c r="D60" s="709">
        <f t="shared" si="3"/>
        <v>45835</v>
      </c>
      <c r="E60" s="710" t="str">
        <f t="shared" si="3"/>
        <v>30 YR FIXED RATE DEBT: PAY 8.75000% GBP 57.937M MAT: 06/27/25</v>
      </c>
      <c r="F60" s="711" t="str">
        <f t="shared" si="3"/>
        <v>Fixed rate</v>
      </c>
      <c r="G60" s="712" t="str">
        <f t="shared" si="3"/>
        <v>Senior</v>
      </c>
      <c r="H60" s="711" t="str">
        <f t="shared" si="3"/>
        <v>Not applicable</v>
      </c>
      <c r="I60" s="713">
        <f t="shared" si="3"/>
        <v>8.7499999999999994E-2</v>
      </c>
      <c r="J60" s="130"/>
      <c r="K60" s="131"/>
      <c r="L60" s="132"/>
      <c r="M60" s="779">
        <v>1.4</v>
      </c>
      <c r="N60" s="779">
        <v>1.42063031</v>
      </c>
      <c r="O60" s="779">
        <v>1.4245874999999999</v>
      </c>
      <c r="P60" s="779">
        <v>1.4245874999999999</v>
      </c>
      <c r="Q60" s="779">
        <v>0.34427531</v>
      </c>
      <c r="R60" s="779">
        <v>0</v>
      </c>
      <c r="S60" s="779">
        <v>0</v>
      </c>
      <c r="T60" s="779">
        <v>0</v>
      </c>
      <c r="U60" s="779">
        <v>0</v>
      </c>
      <c r="V60" s="779">
        <v>0</v>
      </c>
    </row>
    <row r="61" spans="2:29" outlineLevel="1">
      <c r="B61" s="796" t="s">
        <v>401</v>
      </c>
      <c r="C61" s="709">
        <f t="shared" ref="C61:I61" si="4">C21</f>
        <v>36070</v>
      </c>
      <c r="D61" s="709">
        <f t="shared" si="4"/>
        <v>47028</v>
      </c>
      <c r="E61" s="710" t="str">
        <f t="shared" si="4"/>
        <v>30 YR FIXED RATE DEBT: PAY 6.20000% GBP 50.0 M MAT: 02-OCT-2028</v>
      </c>
      <c r="F61" s="711" t="str">
        <f t="shared" si="4"/>
        <v>Fixed rate</v>
      </c>
      <c r="G61" s="712" t="str">
        <f t="shared" si="4"/>
        <v>Senior</v>
      </c>
      <c r="H61" s="711" t="str">
        <f t="shared" si="4"/>
        <v>Not applicable</v>
      </c>
      <c r="I61" s="713">
        <f t="shared" si="4"/>
        <v>6.2E-2</v>
      </c>
      <c r="J61" s="130"/>
      <c r="K61" s="131"/>
      <c r="L61" s="132"/>
      <c r="M61" s="779">
        <v>3.1</v>
      </c>
      <c r="N61" s="779">
        <v>3.0917555699999997</v>
      </c>
      <c r="O61" s="779">
        <v>3.1090027899999999</v>
      </c>
      <c r="P61" s="779">
        <v>3.1090027899999999</v>
      </c>
      <c r="Q61" s="779">
        <v>3.1090027899999999</v>
      </c>
      <c r="R61" s="779">
        <v>3.1090027899999999</v>
      </c>
      <c r="S61" s="779">
        <v>3.1090027899999999</v>
      </c>
      <c r="T61" s="779">
        <v>1.5717736299999998</v>
      </c>
      <c r="U61" s="779">
        <v>0</v>
      </c>
      <c r="V61" s="779">
        <v>0</v>
      </c>
    </row>
    <row r="62" spans="2:29" outlineLevel="1">
      <c r="B62" s="796" t="s">
        <v>402</v>
      </c>
      <c r="C62" s="709">
        <f t="shared" ref="C62:I62" si="5">C22</f>
        <v>39067</v>
      </c>
      <c r="D62" s="709">
        <f t="shared" si="5"/>
        <v>45642</v>
      </c>
      <c r="E62" s="710" t="str">
        <f t="shared" si="5"/>
        <v>18 YR FIXED RATE DEBT: PAY 7.00000% GBP 282.502M MAT: 16-DEC-2024</v>
      </c>
      <c r="F62" s="711" t="str">
        <f t="shared" si="5"/>
        <v>Fixed rate</v>
      </c>
      <c r="G62" s="712" t="str">
        <f t="shared" si="5"/>
        <v>Senior</v>
      </c>
      <c r="H62" s="711" t="str">
        <f t="shared" si="5"/>
        <v>Not applicable</v>
      </c>
      <c r="I62" s="713">
        <f t="shared" si="5"/>
        <v>7.0000000000000007E-2</v>
      </c>
      <c r="J62" s="130"/>
      <c r="K62" s="131"/>
      <c r="L62" s="132"/>
      <c r="M62" s="779">
        <v>5.7</v>
      </c>
      <c r="N62" s="779">
        <v>5.73389814</v>
      </c>
      <c r="O62" s="779">
        <v>5.7498699999999996</v>
      </c>
      <c r="P62" s="779">
        <v>4.0887964400000003</v>
      </c>
      <c r="Q62" s="779">
        <v>0</v>
      </c>
      <c r="R62" s="779">
        <v>0</v>
      </c>
      <c r="S62" s="779">
        <v>0</v>
      </c>
      <c r="T62" s="779">
        <v>0</v>
      </c>
      <c r="U62" s="779">
        <v>0</v>
      </c>
      <c r="V62" s="779">
        <v>0</v>
      </c>
    </row>
    <row r="63" spans="2:29" outlineLevel="1">
      <c r="B63" s="796" t="s">
        <v>958</v>
      </c>
      <c r="C63" s="709">
        <f t="shared" ref="C63:I63" si="6">C23</f>
        <v>39581</v>
      </c>
      <c r="D63" s="709">
        <f t="shared" si="6"/>
        <v>50538</v>
      </c>
      <c r="E63" s="710" t="str">
        <f t="shared" si="6"/>
        <v>30 YR FIXED RATE DEBT: PAY 6.00000% GBP 11.0 M MAT: 13-MAY-2038</v>
      </c>
      <c r="F63" s="711" t="str">
        <f t="shared" si="6"/>
        <v>Fixed rate</v>
      </c>
      <c r="G63" s="712" t="str">
        <f t="shared" si="6"/>
        <v>Senior</v>
      </c>
      <c r="H63" s="711" t="str">
        <f t="shared" si="6"/>
        <v>Not applicable</v>
      </c>
      <c r="I63" s="713">
        <f t="shared" si="6"/>
        <v>0.06</v>
      </c>
      <c r="J63" s="130"/>
      <c r="K63" s="131"/>
      <c r="L63" s="132"/>
      <c r="M63" s="779">
        <v>0.4</v>
      </c>
      <c r="N63" s="779">
        <v>0.46748013999999999</v>
      </c>
      <c r="O63" s="779">
        <v>0.46905099</v>
      </c>
      <c r="P63" s="779">
        <v>0.46838668999999994</v>
      </c>
      <c r="Q63" s="779">
        <v>0.46885558999999999</v>
      </c>
      <c r="R63" s="779">
        <v>0.46876441999999996</v>
      </c>
      <c r="S63" s="779">
        <v>0.46905099</v>
      </c>
      <c r="T63" s="779">
        <v>0.46838668999999994</v>
      </c>
      <c r="U63" s="779">
        <v>0.46885558999999999</v>
      </c>
      <c r="V63" s="779">
        <v>0.46876441999999996</v>
      </c>
    </row>
    <row r="64" spans="2:29" outlineLevel="1">
      <c r="B64" s="796" t="s">
        <v>959</v>
      </c>
      <c r="C64" s="709">
        <f t="shared" ref="C64:I64" si="7">C24</f>
        <v>39581</v>
      </c>
      <c r="D64" s="709">
        <f t="shared" si="7"/>
        <v>50538</v>
      </c>
      <c r="E64" s="710" t="str">
        <f t="shared" si="7"/>
        <v>30 YR FIXED RATE DEBT: PAY 6.00000% GBP 24.0 M MAT: 13-MAY-2038</v>
      </c>
      <c r="F64" s="711" t="str">
        <f t="shared" si="7"/>
        <v>Fixed rate</v>
      </c>
      <c r="G64" s="712" t="str">
        <f t="shared" si="7"/>
        <v>Senior</v>
      </c>
      <c r="H64" s="711" t="str">
        <f t="shared" si="7"/>
        <v>Not applicable</v>
      </c>
      <c r="I64" s="713">
        <f t="shared" si="7"/>
        <v>0.06</v>
      </c>
      <c r="J64" s="130"/>
      <c r="K64" s="131"/>
      <c r="L64" s="132"/>
      <c r="M64" s="779">
        <v>1.4</v>
      </c>
      <c r="N64" s="779">
        <v>1.49701756</v>
      </c>
      <c r="O64" s="779">
        <v>1.5020146200000002</v>
      </c>
      <c r="P64" s="779">
        <v>1.4999494799999999</v>
      </c>
      <c r="Q64" s="779">
        <v>1.50142665</v>
      </c>
      <c r="R64" s="779">
        <v>1.5011302500000001</v>
      </c>
      <c r="S64" s="779">
        <v>1.5020146200000002</v>
      </c>
      <c r="T64" s="779">
        <v>1.4999494799999999</v>
      </c>
      <c r="U64" s="779">
        <v>1.50142665</v>
      </c>
      <c r="V64" s="779">
        <v>1.5011302500000001</v>
      </c>
    </row>
    <row r="65" spans="2:22" outlineLevel="1">
      <c r="B65" s="796" t="s">
        <v>960</v>
      </c>
      <c r="C65" s="709">
        <f t="shared" ref="C65:I65" si="8">C25</f>
        <v>39946</v>
      </c>
      <c r="D65" s="709">
        <f t="shared" si="8"/>
        <v>50538</v>
      </c>
      <c r="E65" s="710" t="str">
        <f t="shared" si="8"/>
        <v>29 YR FIXED RATE DEBT: PAY 6.00000% GBP 5.0 M MAT: 13-MAY-2038</v>
      </c>
      <c r="F65" s="711" t="str">
        <f t="shared" si="8"/>
        <v>Fixed rate</v>
      </c>
      <c r="G65" s="712" t="str">
        <f t="shared" si="8"/>
        <v>Senior</v>
      </c>
      <c r="H65" s="711" t="str">
        <f t="shared" si="8"/>
        <v>Not applicable</v>
      </c>
      <c r="I65" s="713">
        <f t="shared" si="8"/>
        <v>0.06</v>
      </c>
      <c r="J65" s="130"/>
      <c r="K65" s="131"/>
      <c r="L65" s="132"/>
      <c r="M65" s="779">
        <v>0.3</v>
      </c>
      <c r="N65" s="779">
        <v>0.30625563</v>
      </c>
      <c r="O65" s="779">
        <v>0.30726958000000004</v>
      </c>
      <c r="P65" s="779">
        <v>0.30686265000000001</v>
      </c>
      <c r="Q65" s="779">
        <v>0.30715873999999999</v>
      </c>
      <c r="R65" s="779">
        <v>0.30709699000000001</v>
      </c>
      <c r="S65" s="779">
        <v>0.30726958000000004</v>
      </c>
      <c r="T65" s="779">
        <v>0.30686265000000001</v>
      </c>
      <c r="U65" s="779">
        <v>0.30715873999999999</v>
      </c>
      <c r="V65" s="779">
        <v>0.30709699000000001</v>
      </c>
    </row>
    <row r="66" spans="2:22" outlineLevel="1">
      <c r="B66" s="796" t="s">
        <v>961</v>
      </c>
      <c r="C66" s="709">
        <f t="shared" ref="C66:I66" si="9">C26</f>
        <v>39946</v>
      </c>
      <c r="D66" s="709">
        <f t="shared" si="9"/>
        <v>50538</v>
      </c>
      <c r="E66" s="710" t="str">
        <f t="shared" si="9"/>
        <v>29 YR FIXED RATE DEBT: PAY 6.00000% GBP 8.0 M MAT: 13-MAY-2038</v>
      </c>
      <c r="F66" s="711" t="str">
        <f t="shared" si="9"/>
        <v>Fixed rate</v>
      </c>
      <c r="G66" s="712" t="str">
        <f t="shared" si="9"/>
        <v>Senior</v>
      </c>
      <c r="H66" s="711" t="str">
        <f t="shared" si="9"/>
        <v>Not applicable</v>
      </c>
      <c r="I66" s="713">
        <f t="shared" si="9"/>
        <v>0.06</v>
      </c>
      <c r="J66" s="130"/>
      <c r="K66" s="131"/>
      <c r="L66" s="132"/>
      <c r="M66" s="779">
        <v>0.5</v>
      </c>
      <c r="N66" s="779">
        <v>0.47380749</v>
      </c>
      <c r="O66" s="779">
        <v>0.47535173999999997</v>
      </c>
      <c r="P66" s="779">
        <v>0.47476777000000003</v>
      </c>
      <c r="Q66" s="779">
        <v>0.47520795999999998</v>
      </c>
      <c r="R66" s="779">
        <v>0.47510915999999997</v>
      </c>
      <c r="S66" s="779">
        <v>0.47535173999999997</v>
      </c>
      <c r="T66" s="779">
        <v>0.47476777000000003</v>
      </c>
      <c r="U66" s="779">
        <v>0.47520795999999998</v>
      </c>
      <c r="V66" s="779">
        <v>0.47510915999999997</v>
      </c>
    </row>
    <row r="67" spans="2:22" outlineLevel="1">
      <c r="B67" s="796" t="s">
        <v>962</v>
      </c>
      <c r="C67" s="709">
        <f t="shared" ref="C67:I67" si="10">C27</f>
        <v>41264</v>
      </c>
      <c r="D67" s="709">
        <f t="shared" si="10"/>
        <v>46742</v>
      </c>
      <c r="E67" s="710" t="str">
        <f t="shared" si="10"/>
        <v>15 YR FIXED RATE DEBT: PAY 3.05000% HKD 300.0 M MAT: 21-DEC-2027</v>
      </c>
      <c r="F67" s="711" t="str">
        <f t="shared" si="10"/>
        <v>Fixed rate</v>
      </c>
      <c r="G67" s="712" t="str">
        <f t="shared" si="10"/>
        <v>Senior</v>
      </c>
      <c r="H67" s="711" t="str">
        <f t="shared" si="10"/>
        <v>Not applicable</v>
      </c>
      <c r="I67" s="713">
        <f t="shared" si="10"/>
        <v>3.0499999999999999E-2</v>
      </c>
      <c r="J67" s="130"/>
      <c r="K67" s="131"/>
      <c r="L67" s="132"/>
      <c r="M67" s="779">
        <v>0.9</v>
      </c>
      <c r="N67" s="779">
        <v>0.88624060999999998</v>
      </c>
      <c r="O67" s="779">
        <v>0.89111006000000004</v>
      </c>
      <c r="P67" s="779">
        <v>0.88867532999999999</v>
      </c>
      <c r="Q67" s="779">
        <v>0.88867532999999999</v>
      </c>
      <c r="R67" s="779">
        <v>0.88867532999999999</v>
      </c>
      <c r="S67" s="779">
        <v>0.64520264000000005</v>
      </c>
      <c r="T67" s="779">
        <v>0</v>
      </c>
      <c r="U67" s="779">
        <v>0</v>
      </c>
      <c r="V67" s="779">
        <v>0</v>
      </c>
    </row>
    <row r="68" spans="2:22" outlineLevel="1">
      <c r="B68" s="796" t="s">
        <v>963</v>
      </c>
      <c r="C68" s="709">
        <f t="shared" ref="C68:I68" si="11">C28</f>
        <v>36238</v>
      </c>
      <c r="D68" s="709">
        <f t="shared" si="11"/>
        <v>47200</v>
      </c>
      <c r="E68" s="710" t="str">
        <f t="shared" si="11"/>
        <v>30 YR FIXED RATE DEBT: PAY 4.31000% USD 85.8 M MAT: 23-MAR-2029</v>
      </c>
      <c r="F68" s="711" t="str">
        <f t="shared" si="11"/>
        <v>Fixed rate</v>
      </c>
      <c r="G68" s="712" t="str">
        <f t="shared" si="11"/>
        <v>Senior</v>
      </c>
      <c r="H68" s="711" t="str">
        <f t="shared" si="11"/>
        <v>Not applicable</v>
      </c>
      <c r="I68" s="713">
        <f t="shared" si="11"/>
        <v>4.3099999999999999E-2</v>
      </c>
      <c r="J68" s="130"/>
      <c r="K68" s="131"/>
      <c r="L68" s="132"/>
      <c r="M68" s="779">
        <v>2.8</v>
      </c>
      <c r="N68" s="779">
        <v>2.8147525400000002</v>
      </c>
      <c r="O68" s="779">
        <v>2.8147525400000002</v>
      </c>
      <c r="P68" s="779">
        <v>2.8147525400000002</v>
      </c>
      <c r="Q68" s="779">
        <v>2.8147525400000002</v>
      </c>
      <c r="R68" s="779">
        <v>2.8147525400000002</v>
      </c>
      <c r="S68" s="779">
        <v>2.8147525400000002</v>
      </c>
      <c r="T68" s="779">
        <v>2.7522024799999998</v>
      </c>
      <c r="U68" s="779">
        <v>0</v>
      </c>
      <c r="V68" s="779">
        <v>0</v>
      </c>
    </row>
    <row r="69" spans="2:22" outlineLevel="1">
      <c r="B69" s="796" t="s">
        <v>964</v>
      </c>
      <c r="C69" s="709">
        <f t="shared" ref="C69:I69" si="12">C29</f>
        <v>36475</v>
      </c>
      <c r="D69" s="709">
        <f t="shared" si="12"/>
        <v>47434</v>
      </c>
      <c r="E69" s="710" t="str">
        <f t="shared" si="12"/>
        <v>30 YR FIXED RATE DEBT: PAY 4.63000% USD 92.7 M MAT: 12-NOV-2029</v>
      </c>
      <c r="F69" s="711" t="str">
        <f t="shared" si="12"/>
        <v>Fixed rate</v>
      </c>
      <c r="G69" s="712" t="str">
        <f t="shared" si="12"/>
        <v>Senior</v>
      </c>
      <c r="H69" s="711" t="str">
        <f t="shared" si="12"/>
        <v>Not applicable</v>
      </c>
      <c r="I69" s="713">
        <f t="shared" si="12"/>
        <v>4.6300000000000001E-2</v>
      </c>
      <c r="J69" s="130"/>
      <c r="K69" s="131"/>
      <c r="L69" s="132"/>
      <c r="M69" s="779">
        <v>3.1</v>
      </c>
      <c r="N69" s="779">
        <v>3.2571803500000001</v>
      </c>
      <c r="O69" s="779">
        <v>3.2662532799999999</v>
      </c>
      <c r="P69" s="779">
        <v>3.2662532799999999</v>
      </c>
      <c r="Q69" s="779">
        <v>3.2662532799999999</v>
      </c>
      <c r="R69" s="779">
        <v>3.2662532799999999</v>
      </c>
      <c r="S69" s="779">
        <v>3.2662532799999999</v>
      </c>
      <c r="T69" s="779">
        <v>3.2662532799999999</v>
      </c>
      <c r="U69" s="779">
        <v>2.0232624499999998</v>
      </c>
      <c r="V69" s="779">
        <v>0</v>
      </c>
    </row>
    <row r="70" spans="2:22" outlineLevel="1">
      <c r="B70" s="796" t="s">
        <v>965</v>
      </c>
      <c r="C70" s="709">
        <f t="shared" ref="C70:I70" si="13">C30</f>
        <v>39458</v>
      </c>
      <c r="D70" s="709">
        <f t="shared" si="13"/>
        <v>44936</v>
      </c>
      <c r="E70" s="710" t="str">
        <f t="shared" si="13"/>
        <v>15.0 YR FIXED RATE DEBT: PAY 2.54000% JPY 3000.0 M MAT: 10-JAN-2023</v>
      </c>
      <c r="F70" s="711" t="str">
        <f t="shared" si="13"/>
        <v>Fixed rate</v>
      </c>
      <c r="G70" s="712" t="str">
        <f t="shared" si="13"/>
        <v>Senior</v>
      </c>
      <c r="H70" s="711" t="str">
        <f t="shared" si="13"/>
        <v>Not applicable</v>
      </c>
      <c r="I70" s="713">
        <f t="shared" si="13"/>
        <v>2.5399999999999999E-2</v>
      </c>
      <c r="J70" s="130"/>
      <c r="K70" s="131"/>
      <c r="L70" s="132"/>
      <c r="M70" s="779">
        <v>0.5</v>
      </c>
      <c r="N70" s="779">
        <v>0.36954355999999999</v>
      </c>
      <c r="O70" s="779">
        <v>0</v>
      </c>
      <c r="P70" s="779">
        <v>0</v>
      </c>
      <c r="Q70" s="779">
        <v>0</v>
      </c>
      <c r="R70" s="779">
        <v>0</v>
      </c>
      <c r="S70" s="779">
        <v>0</v>
      </c>
      <c r="T70" s="779">
        <v>0</v>
      </c>
      <c r="U70" s="779">
        <v>0</v>
      </c>
      <c r="V70" s="779">
        <v>0</v>
      </c>
    </row>
    <row r="71" spans="2:22" outlineLevel="1">
      <c r="B71" s="796" t="s">
        <v>966</v>
      </c>
      <c r="C71" s="709">
        <f t="shared" ref="C71:I71" si="14">C31</f>
        <v>42635</v>
      </c>
      <c r="D71" s="709">
        <f t="shared" si="14"/>
        <v>44909</v>
      </c>
      <c r="E71" s="710" t="str">
        <f t="shared" si="14"/>
        <v>6.5 YR FLOATING RATE DEBT: PAY 12M/1Y RPI 4.1875% REAL RATE GBP 416.3 M MAT: 14-DEC-2022</v>
      </c>
      <c r="F71" s="711" t="str">
        <f t="shared" si="14"/>
        <v>Inflation-linked</v>
      </c>
      <c r="G71" s="712" t="str">
        <f t="shared" si="14"/>
        <v>Senior</v>
      </c>
      <c r="H71" s="711" t="str">
        <f t="shared" si="14"/>
        <v>RPI 12 month</v>
      </c>
      <c r="I71" s="713">
        <f t="shared" si="14"/>
        <v>4.1875000000000002E-2</v>
      </c>
      <c r="J71" s="130"/>
      <c r="K71" s="131"/>
      <c r="L71" s="132"/>
      <c r="M71" s="779">
        <v>20</v>
      </c>
      <c r="N71" s="779">
        <v>15.635547185165031</v>
      </c>
      <c r="O71" s="779">
        <v>0</v>
      </c>
      <c r="P71" s="779">
        <v>0</v>
      </c>
      <c r="Q71" s="779">
        <v>0</v>
      </c>
      <c r="R71" s="779">
        <v>0</v>
      </c>
      <c r="S71" s="779">
        <v>0</v>
      </c>
      <c r="T71" s="779">
        <v>0</v>
      </c>
      <c r="U71" s="779">
        <v>0</v>
      </c>
      <c r="V71" s="779">
        <v>0</v>
      </c>
    </row>
    <row r="72" spans="2:22" outlineLevel="1">
      <c r="B72" s="796" t="s">
        <v>967</v>
      </c>
      <c r="C72" s="709">
        <f t="shared" ref="C72:I72" si="15">C32</f>
        <v>38814</v>
      </c>
      <c r="D72" s="709">
        <f t="shared" si="15"/>
        <v>49772</v>
      </c>
      <c r="E72" s="710" t="str">
        <f t="shared" si="15"/>
        <v>30 YR FLOATING RATE DEBT: PAY 12M/1Y RPI 1.6747% REAL RATE GBP 100.0 M MAT: 07-APR-2036</v>
      </c>
      <c r="F72" s="711" t="str">
        <f t="shared" si="15"/>
        <v>Inflation-linked</v>
      </c>
      <c r="G72" s="712" t="str">
        <f t="shared" si="15"/>
        <v>Senior</v>
      </c>
      <c r="H72" s="711" t="str">
        <f t="shared" si="15"/>
        <v>RPI 12 month</v>
      </c>
      <c r="I72" s="713">
        <f t="shared" si="15"/>
        <v>1.6747000000000001E-2</v>
      </c>
      <c r="J72" s="130"/>
      <c r="K72" s="131"/>
      <c r="L72" s="132"/>
      <c r="M72" s="779">
        <v>2.6</v>
      </c>
      <c r="N72" s="779">
        <v>2.883485794845551</v>
      </c>
      <c r="O72" s="779">
        <v>3.0159217147922437</v>
      </c>
      <c r="P72" s="779">
        <v>3.090158595382468</v>
      </c>
      <c r="Q72" s="779">
        <v>3.1697285068652952</v>
      </c>
      <c r="R72" s="779">
        <v>3.2648203620712541</v>
      </c>
      <c r="S72" s="779">
        <v>3.3627649729333919</v>
      </c>
      <c r="T72" s="779">
        <v>3.4636479221213938</v>
      </c>
      <c r="U72" s="779">
        <v>3.5675573597850359</v>
      </c>
      <c r="V72" s="779">
        <v>3.6745840805785872</v>
      </c>
    </row>
    <row r="73" spans="2:22" outlineLevel="1">
      <c r="B73" s="796" t="s">
        <v>968</v>
      </c>
      <c r="C73" s="709">
        <f t="shared" ref="C73:I73" si="16">C33</f>
        <v>38896</v>
      </c>
      <c r="D73" s="709">
        <f t="shared" si="16"/>
        <v>53506</v>
      </c>
      <c r="E73" s="710" t="str">
        <f t="shared" si="16"/>
        <v>40 YR FLOATING RATE DEBT: PAY 12M/1Y RPI 1.7298% REAL RATE GBP 115.0 M MAT: 28-JUN-2046</v>
      </c>
      <c r="F73" s="711" t="str">
        <f t="shared" si="16"/>
        <v>Inflation-linked</v>
      </c>
      <c r="G73" s="712" t="str">
        <f t="shared" si="16"/>
        <v>Senior</v>
      </c>
      <c r="H73" s="711" t="str">
        <f t="shared" si="16"/>
        <v>RPI 12 month</v>
      </c>
      <c r="I73" s="713">
        <f t="shared" si="16"/>
        <v>1.7298000000000001E-2</v>
      </c>
      <c r="J73" s="130"/>
      <c r="K73" s="131"/>
      <c r="L73" s="132"/>
      <c r="M73" s="779">
        <v>3.1</v>
      </c>
      <c r="N73" s="779">
        <v>3.4380022938543107</v>
      </c>
      <c r="O73" s="779">
        <v>3.5959066599445979</v>
      </c>
      <c r="P73" s="779">
        <v>3.6844198637252497</v>
      </c>
      <c r="Q73" s="779">
        <v>3.7792916812624671</v>
      </c>
      <c r="R73" s="779">
        <v>3.8926704317003411</v>
      </c>
      <c r="S73" s="779">
        <v>4.0094505446513518</v>
      </c>
      <c r="T73" s="779">
        <v>4.1297340609908924</v>
      </c>
      <c r="U73" s="779">
        <v>4.2536260828206194</v>
      </c>
      <c r="V73" s="779">
        <v>4.3812348653052382</v>
      </c>
    </row>
    <row r="74" spans="2:22" outlineLevel="1">
      <c r="B74" s="796" t="s">
        <v>969</v>
      </c>
      <c r="C74" s="709">
        <f t="shared" ref="C74:I74" si="17">C34</f>
        <v>39007</v>
      </c>
      <c r="D74" s="709">
        <f t="shared" si="17"/>
        <v>49965</v>
      </c>
      <c r="E74" s="710" t="str">
        <f t="shared" si="17"/>
        <v>30 YR FLOATING RATE DEBT: PAY 12M/1Y RPI 1.7540% REAL RATE GBP 300.0 M MAT: 17-OCT-2036</v>
      </c>
      <c r="F74" s="711" t="str">
        <f t="shared" si="17"/>
        <v>Inflation-linked</v>
      </c>
      <c r="G74" s="712" t="str">
        <f t="shared" si="17"/>
        <v>Senior</v>
      </c>
      <c r="H74" s="711" t="str">
        <f t="shared" si="17"/>
        <v>RPI 12 month</v>
      </c>
      <c r="I74" s="713">
        <f t="shared" si="17"/>
        <v>1.754E-2</v>
      </c>
      <c r="J74" s="130"/>
      <c r="K74" s="131"/>
      <c r="L74" s="132"/>
      <c r="M74" s="779">
        <v>7.9</v>
      </c>
      <c r="N74" s="779">
        <v>8.7613606843384044</v>
      </c>
      <c r="O74" s="779">
        <v>9.1637621334072001</v>
      </c>
      <c r="P74" s="779">
        <v>9.3893280398159575</v>
      </c>
      <c r="Q74" s="779">
        <v>9.6310981554753177</v>
      </c>
      <c r="R74" s="779">
        <v>9.9200311001395782</v>
      </c>
      <c r="S74" s="779">
        <v>10.217632033143765</v>
      </c>
      <c r="T74" s="779">
        <v>10.524160994138079</v>
      </c>
      <c r="U74" s="779">
        <v>10.839885823962222</v>
      </c>
      <c r="V74" s="779">
        <v>11.165082398681088</v>
      </c>
    </row>
    <row r="75" spans="2:22" outlineLevel="1">
      <c r="B75" s="796" t="s">
        <v>970</v>
      </c>
      <c r="C75" s="709">
        <f t="shared" ref="C75:I75" si="18">C35</f>
        <v>39094</v>
      </c>
      <c r="D75" s="709">
        <f t="shared" si="18"/>
        <v>50052</v>
      </c>
      <c r="E75" s="710" t="str">
        <f t="shared" si="18"/>
        <v>30 YR FLOATING RATE DEBT: PAY 12M/1Y RPI 1.7864% REAL RATE GBP 140.0 M MAT: 12-JAN-2037</v>
      </c>
      <c r="F75" s="711" t="str">
        <f t="shared" si="18"/>
        <v>Inflation-linked</v>
      </c>
      <c r="G75" s="712" t="str">
        <f t="shared" si="18"/>
        <v>Senior</v>
      </c>
      <c r="H75" s="711" t="str">
        <f t="shared" si="18"/>
        <v>RPI 12 month</v>
      </c>
      <c r="I75" s="713">
        <f t="shared" si="18"/>
        <v>1.7864000000000001E-2</v>
      </c>
      <c r="J75" s="130"/>
      <c r="K75" s="131"/>
      <c r="L75" s="132"/>
      <c r="M75" s="779">
        <v>3.8</v>
      </c>
      <c r="N75" s="779">
        <v>4.2143253924665744</v>
      </c>
      <c r="O75" s="779">
        <v>4.4078855831578947</v>
      </c>
      <c r="P75" s="779">
        <v>4.5163856394051454</v>
      </c>
      <c r="Q75" s="779">
        <v>4.6326801254185082</v>
      </c>
      <c r="R75" s="779">
        <v>4.7716605291810632</v>
      </c>
      <c r="S75" s="779">
        <v>4.9148103450564955</v>
      </c>
      <c r="T75" s="779">
        <v>5.0622546554081902</v>
      </c>
      <c r="U75" s="779">
        <v>5.2141222950704362</v>
      </c>
      <c r="V75" s="779">
        <v>5.3705459639225497</v>
      </c>
    </row>
    <row r="76" spans="2:22" outlineLevel="1">
      <c r="B76" s="796" t="s">
        <v>971</v>
      </c>
      <c r="C76" s="709">
        <f t="shared" ref="C76:I76" si="19">C36</f>
        <v>39094</v>
      </c>
      <c r="D76" s="709">
        <f t="shared" si="19"/>
        <v>50052</v>
      </c>
      <c r="E76" s="710" t="str">
        <f t="shared" si="19"/>
        <v>30 YR FLOATING RATE DEBT: PAY 12M/1Y RPI 1.7552% REAL RATE GBP 50.0 M MAT: 12-JAN-2037</v>
      </c>
      <c r="F76" s="711" t="str">
        <f t="shared" si="19"/>
        <v>Inflation-linked</v>
      </c>
      <c r="G76" s="712" t="str">
        <f t="shared" si="19"/>
        <v>Senior</v>
      </c>
      <c r="H76" s="711" t="str">
        <f t="shared" si="19"/>
        <v>RPI 12 month</v>
      </c>
      <c r="I76" s="713">
        <f t="shared" si="19"/>
        <v>1.7552000000000002E-2</v>
      </c>
      <c r="J76" s="130"/>
      <c r="K76" s="131"/>
      <c r="L76" s="132"/>
      <c r="M76" s="779">
        <v>1.3</v>
      </c>
      <c r="N76" s="779">
        <v>1.4417428974227755</v>
      </c>
      <c r="O76" s="779">
        <v>1.5079608573961218</v>
      </c>
      <c r="P76" s="779">
        <v>1.545079297691234</v>
      </c>
      <c r="Q76" s="779">
        <v>1.5848642534326476</v>
      </c>
      <c r="R76" s="779">
        <v>1.6324101810356271</v>
      </c>
      <c r="S76" s="779">
        <v>1.681382486466696</v>
      </c>
      <c r="T76" s="779">
        <v>1.7318239610606969</v>
      </c>
      <c r="U76" s="779">
        <v>1.7837786798925179</v>
      </c>
      <c r="V76" s="779">
        <v>1.8372920402892936</v>
      </c>
    </row>
    <row r="77" spans="2:22" outlineLevel="1">
      <c r="B77" s="796" t="s">
        <v>972</v>
      </c>
      <c r="C77" s="709">
        <f t="shared" ref="C77:I77" si="20">C37</f>
        <v>39108</v>
      </c>
      <c r="D77" s="709">
        <f t="shared" si="20"/>
        <v>50129</v>
      </c>
      <c r="E77" s="710" t="str">
        <f t="shared" si="20"/>
        <v>30.2 YR FLOATING RATE DEBT: PAY 12M/1Y RPI 1.7712% REAL RATE GBP 25.0 M MAT: 30-MAR-2037</v>
      </c>
      <c r="F77" s="711" t="str">
        <f t="shared" si="20"/>
        <v>Inflation-linked</v>
      </c>
      <c r="G77" s="712" t="str">
        <f t="shared" si="20"/>
        <v>Senior</v>
      </c>
      <c r="H77" s="711" t="str">
        <f t="shared" si="20"/>
        <v>RPI 12 month</v>
      </c>
      <c r="I77" s="713">
        <f t="shared" si="20"/>
        <v>1.7711999999999999E-2</v>
      </c>
      <c r="J77" s="130"/>
      <c r="K77" s="131"/>
      <c r="L77" s="132"/>
      <c r="M77" s="779">
        <v>0.7</v>
      </c>
      <c r="N77" s="779">
        <v>0.77632309861226367</v>
      </c>
      <c r="O77" s="779">
        <v>0.81197892321329623</v>
      </c>
      <c r="P77" s="779">
        <v>0.83196577567989505</v>
      </c>
      <c r="Q77" s="779">
        <v>0.85338844415604087</v>
      </c>
      <c r="R77" s="779">
        <v>0.8789900974807221</v>
      </c>
      <c r="S77" s="779">
        <v>0.90535980040514374</v>
      </c>
      <c r="T77" s="779">
        <v>0.93252059441729807</v>
      </c>
      <c r="U77" s="779">
        <v>0.96049621224981707</v>
      </c>
      <c r="V77" s="779">
        <v>0.98931109861731159</v>
      </c>
    </row>
    <row r="78" spans="2:22" outlineLevel="1">
      <c r="B78" s="796" t="s">
        <v>973</v>
      </c>
      <c r="C78" s="709">
        <f t="shared" ref="C78:I78" si="21">C38</f>
        <v>39112</v>
      </c>
      <c r="D78" s="709">
        <f t="shared" si="21"/>
        <v>50070</v>
      </c>
      <c r="E78" s="710" t="str">
        <f t="shared" si="21"/>
        <v>30 YR FLOATING RATE DEBT: PAY 12M/1Y RPI 1.6783% REAL RATE GBP 50.0 M MAT: 30-JAN-2037</v>
      </c>
      <c r="F78" s="711" t="str">
        <f t="shared" si="21"/>
        <v>Inflation-linked</v>
      </c>
      <c r="G78" s="712" t="str">
        <f t="shared" si="21"/>
        <v>Senior</v>
      </c>
      <c r="H78" s="711" t="str">
        <f t="shared" si="21"/>
        <v>RPI 12 month</v>
      </c>
      <c r="I78" s="713">
        <f t="shared" si="21"/>
        <v>1.6782999999999999E-2</v>
      </c>
      <c r="J78" s="130"/>
      <c r="K78" s="131"/>
      <c r="L78" s="132"/>
      <c r="M78" s="779">
        <v>1.3</v>
      </c>
      <c r="N78" s="779">
        <v>1.4417428974227755</v>
      </c>
      <c r="O78" s="779">
        <v>1.5079608573961218</v>
      </c>
      <c r="P78" s="779">
        <v>1.545079297691234</v>
      </c>
      <c r="Q78" s="779">
        <v>1.5848642534326476</v>
      </c>
      <c r="R78" s="779">
        <v>1.6324101810356271</v>
      </c>
      <c r="S78" s="779">
        <v>1.681382486466696</v>
      </c>
      <c r="T78" s="779">
        <v>1.7318239610606969</v>
      </c>
      <c r="U78" s="779">
        <v>1.7837786798925179</v>
      </c>
      <c r="V78" s="779">
        <v>1.8372920402892936</v>
      </c>
    </row>
    <row r="79" spans="2:22" outlineLevel="1">
      <c r="B79" s="796" t="s">
        <v>974</v>
      </c>
      <c r="C79" s="709">
        <f t="shared" ref="C79:I79" si="22">C39</f>
        <v>39133</v>
      </c>
      <c r="D79" s="709">
        <f t="shared" si="22"/>
        <v>50091</v>
      </c>
      <c r="E79" s="710" t="str">
        <f t="shared" si="22"/>
        <v>30 YR FLOATING RATE DEBT: PAY 12M/1Y RPI 1.9158% REAL RATE GBP 100.0 M MAT: 20-FEB-2037</v>
      </c>
      <c r="F79" s="711" t="str">
        <f t="shared" si="22"/>
        <v>Inflation-linked</v>
      </c>
      <c r="G79" s="712" t="str">
        <f t="shared" si="22"/>
        <v>Senior</v>
      </c>
      <c r="H79" s="711" t="str">
        <f t="shared" si="22"/>
        <v>RPI 12 month</v>
      </c>
      <c r="I79" s="713">
        <f t="shared" si="22"/>
        <v>1.9158000000000001E-2</v>
      </c>
      <c r="J79" s="130"/>
      <c r="K79" s="131"/>
      <c r="L79" s="132"/>
      <c r="M79" s="779">
        <v>2.9</v>
      </c>
      <c r="N79" s="779">
        <v>3.2161956942508065</v>
      </c>
      <c r="O79" s="779">
        <v>3.3639126818836558</v>
      </c>
      <c r="P79" s="779">
        <v>3.4467153563881365</v>
      </c>
      <c r="Q79" s="779">
        <v>3.5354664115035979</v>
      </c>
      <c r="R79" s="779">
        <v>3.641530403848706</v>
      </c>
      <c r="S79" s="779">
        <v>3.7507763159641674</v>
      </c>
      <c r="T79" s="779">
        <v>3.8632996054430926</v>
      </c>
      <c r="U79" s="779">
        <v>3.9791985936063856</v>
      </c>
      <c r="V79" s="779">
        <v>4.0985745514145773</v>
      </c>
    </row>
    <row r="80" spans="2:22" outlineLevel="1">
      <c r="B80" s="796" t="s">
        <v>975</v>
      </c>
      <c r="C80" s="709">
        <f t="shared" ref="C80:I80" si="23">C40</f>
        <v>39134</v>
      </c>
      <c r="D80" s="709">
        <f t="shared" si="23"/>
        <v>50273</v>
      </c>
      <c r="E80" s="710" t="str">
        <f t="shared" si="23"/>
        <v>30.5 YR FLOATING RATE DEBT: PAY 12M/1Y RPI 1.9350% REAL RATE GBP 25.0 M MAT: 21-AUG-2037</v>
      </c>
      <c r="F80" s="711" t="str">
        <f t="shared" si="23"/>
        <v>Inflation-linked</v>
      </c>
      <c r="G80" s="712" t="str">
        <f t="shared" si="23"/>
        <v>Senior</v>
      </c>
      <c r="H80" s="711" t="str">
        <f t="shared" si="23"/>
        <v>RPI 12 month</v>
      </c>
      <c r="I80" s="713">
        <f t="shared" si="23"/>
        <v>1.9349999999999999E-2</v>
      </c>
      <c r="J80" s="130"/>
      <c r="K80" s="131"/>
      <c r="L80" s="132"/>
      <c r="M80" s="779">
        <v>0.7</v>
      </c>
      <c r="N80" s="779">
        <v>0.77632309861226367</v>
      </c>
      <c r="O80" s="779">
        <v>0.81197892321329623</v>
      </c>
      <c r="P80" s="779">
        <v>0.83196577567989505</v>
      </c>
      <c r="Q80" s="779">
        <v>0.85338844415604087</v>
      </c>
      <c r="R80" s="779">
        <v>0.8789900974807221</v>
      </c>
      <c r="S80" s="779">
        <v>0.90535980040514374</v>
      </c>
      <c r="T80" s="779">
        <v>0.93252059441729807</v>
      </c>
      <c r="U80" s="779">
        <v>0.96049621224981707</v>
      </c>
      <c r="V80" s="779">
        <v>0.98931109861731159</v>
      </c>
    </row>
    <row r="81" spans="2:22" outlineLevel="1">
      <c r="B81" s="796" t="s">
        <v>976</v>
      </c>
      <c r="C81" s="709">
        <f t="shared" ref="C81:I81" si="24">C41</f>
        <v>39142</v>
      </c>
      <c r="D81" s="709">
        <f t="shared" si="24"/>
        <v>50161</v>
      </c>
      <c r="E81" s="710" t="str">
        <f t="shared" si="24"/>
        <v>30.2 YR FLOATING RATE DEBT: PAY 12M/1Y RPI 1.8928% REAL RATE GBP 50.0 M MAT: 01-MAY-2037</v>
      </c>
      <c r="F81" s="711" t="str">
        <f t="shared" si="24"/>
        <v>Inflation-linked</v>
      </c>
      <c r="G81" s="712" t="str">
        <f t="shared" si="24"/>
        <v>Senior</v>
      </c>
      <c r="H81" s="711" t="str">
        <f t="shared" si="24"/>
        <v>RPI 12 month</v>
      </c>
      <c r="I81" s="713">
        <f t="shared" si="24"/>
        <v>1.8928E-2</v>
      </c>
      <c r="J81" s="130"/>
      <c r="K81" s="131"/>
      <c r="L81" s="132"/>
      <c r="M81" s="779">
        <v>1.4</v>
      </c>
      <c r="N81" s="779">
        <v>1.5526461972245273</v>
      </c>
      <c r="O81" s="779">
        <v>1.6239578464265925</v>
      </c>
      <c r="P81" s="779">
        <v>1.6639315513597901</v>
      </c>
      <c r="Q81" s="779">
        <v>1.7067768883120817</v>
      </c>
      <c r="R81" s="779">
        <v>1.7579801949614442</v>
      </c>
      <c r="S81" s="779">
        <v>1.8107196008102875</v>
      </c>
      <c r="T81" s="779">
        <v>1.8650411888345961</v>
      </c>
      <c r="U81" s="779">
        <v>1.9209924244996341</v>
      </c>
      <c r="V81" s="779">
        <v>1.9786221972346232</v>
      </c>
    </row>
    <row r="82" spans="2:22" outlineLevel="1">
      <c r="B82" s="796" t="s">
        <v>977</v>
      </c>
      <c r="C82" s="709">
        <f t="shared" ref="C82:I82" si="25">C42</f>
        <v>39141</v>
      </c>
      <c r="D82" s="709">
        <f t="shared" si="25"/>
        <v>50161</v>
      </c>
      <c r="E82" s="710" t="str">
        <f t="shared" si="25"/>
        <v>30.2 YR FLOATING RATE DEBT: PAY 12M/1Y RPI 1.9211% REAL RATE GBP 65.0 M MAT: 01-MAY-2037</v>
      </c>
      <c r="F82" s="711" t="str">
        <f t="shared" si="25"/>
        <v>Inflation-linked</v>
      </c>
      <c r="G82" s="712" t="str">
        <f t="shared" si="25"/>
        <v>Senior</v>
      </c>
      <c r="H82" s="711" t="str">
        <f t="shared" si="25"/>
        <v>RPI 12 month</v>
      </c>
      <c r="I82" s="713">
        <f t="shared" si="25"/>
        <v>1.9210999999999999E-2</v>
      </c>
      <c r="J82" s="130"/>
      <c r="K82" s="131"/>
      <c r="L82" s="132"/>
      <c r="M82" s="779">
        <v>1.9</v>
      </c>
      <c r="N82" s="779">
        <v>2.1071626962332872</v>
      </c>
      <c r="O82" s="779">
        <v>2.2039427915789473</v>
      </c>
      <c r="P82" s="779">
        <v>2.2581928197025727</v>
      </c>
      <c r="Q82" s="779">
        <v>2.3163400627092541</v>
      </c>
      <c r="R82" s="779">
        <v>2.3858302645905316</v>
      </c>
      <c r="S82" s="779">
        <v>2.4574051725282477</v>
      </c>
      <c r="T82" s="779">
        <v>2.5311273277040951</v>
      </c>
      <c r="U82" s="779">
        <v>2.6070611475352181</v>
      </c>
      <c r="V82" s="779">
        <v>2.6852729819612748</v>
      </c>
    </row>
    <row r="83" spans="2:22" outlineLevel="1">
      <c r="B83" s="796" t="s">
        <v>978</v>
      </c>
      <c r="C83" s="709">
        <f t="shared" ref="C83:I83" si="26">C43</f>
        <v>39157</v>
      </c>
      <c r="D83" s="709">
        <f t="shared" si="26"/>
        <v>50146</v>
      </c>
      <c r="E83" s="710" t="str">
        <f t="shared" si="26"/>
        <v>30.1 YR FLOATING RATE DEBT: PAY 12M/1Y RPI 1.7642% REAL RATE GBP 50.0 M MAT: 16-APR-2037</v>
      </c>
      <c r="F83" s="711" t="str">
        <f t="shared" si="26"/>
        <v>Inflation-linked</v>
      </c>
      <c r="G83" s="712" t="str">
        <f t="shared" si="26"/>
        <v>Senior</v>
      </c>
      <c r="H83" s="711" t="str">
        <f t="shared" si="26"/>
        <v>RPI 12 month</v>
      </c>
      <c r="I83" s="713">
        <f t="shared" si="26"/>
        <v>1.7642000000000001E-2</v>
      </c>
      <c r="J83" s="130"/>
      <c r="K83" s="131"/>
      <c r="L83" s="132"/>
      <c r="M83" s="779">
        <v>1.3</v>
      </c>
      <c r="N83" s="779">
        <v>1.4417428974227755</v>
      </c>
      <c r="O83" s="779">
        <v>1.5079608573961218</v>
      </c>
      <c r="P83" s="779">
        <v>1.545079297691234</v>
      </c>
      <c r="Q83" s="779">
        <v>1.5848642534326476</v>
      </c>
      <c r="R83" s="779">
        <v>1.6324101810356271</v>
      </c>
      <c r="S83" s="779">
        <v>1.681382486466696</v>
      </c>
      <c r="T83" s="779">
        <v>1.7318239610606969</v>
      </c>
      <c r="U83" s="779">
        <v>1.7837786798925179</v>
      </c>
      <c r="V83" s="779">
        <v>1.8372920402892936</v>
      </c>
    </row>
    <row r="84" spans="2:22" outlineLevel="1">
      <c r="B84" s="796" t="s">
        <v>979</v>
      </c>
      <c r="C84" s="709">
        <f t="shared" ref="C84:I84" si="27">C44</f>
        <v>39169</v>
      </c>
      <c r="D84" s="709">
        <f t="shared" si="27"/>
        <v>50280</v>
      </c>
      <c r="E84" s="710" t="str">
        <f t="shared" si="27"/>
        <v>30.4 YR FLOATING RATE DEBT: PAY 12M/1Y RPI 1.7762% REAL RATE GBP 100.0 M MAT: 28-AUG-2037</v>
      </c>
      <c r="F84" s="711" t="str">
        <f t="shared" si="27"/>
        <v>Inflation-linked</v>
      </c>
      <c r="G84" s="712" t="str">
        <f t="shared" si="27"/>
        <v>Senior</v>
      </c>
      <c r="H84" s="711" t="str">
        <f t="shared" si="27"/>
        <v>RPI 12 month</v>
      </c>
      <c r="I84" s="713">
        <f t="shared" si="27"/>
        <v>1.7762E-2</v>
      </c>
      <c r="J84" s="130"/>
      <c r="K84" s="131"/>
      <c r="L84" s="132"/>
      <c r="M84" s="779">
        <v>2.7</v>
      </c>
      <c r="N84" s="779">
        <v>2.9943890946473029</v>
      </c>
      <c r="O84" s="779">
        <v>3.1319187038227141</v>
      </c>
      <c r="P84" s="779">
        <v>3.2090108490510239</v>
      </c>
      <c r="Q84" s="779">
        <v>3.2916411417447291</v>
      </c>
      <c r="R84" s="779">
        <v>3.3903903759970713</v>
      </c>
      <c r="S84" s="779">
        <v>3.4921020872769835</v>
      </c>
      <c r="T84" s="779">
        <v>3.5968651498952933</v>
      </c>
      <c r="U84" s="779">
        <v>3.7047711043921523</v>
      </c>
      <c r="V84" s="779">
        <v>3.8159142375239168</v>
      </c>
    </row>
    <row r="85" spans="2:22" outlineLevel="1">
      <c r="B85" s="796" t="s">
        <v>980</v>
      </c>
      <c r="C85" s="709">
        <f t="shared" ref="C85:I85" si="28">C45</f>
        <v>39176</v>
      </c>
      <c r="D85" s="709">
        <f t="shared" si="28"/>
        <v>50864</v>
      </c>
      <c r="E85" s="710" t="str">
        <f t="shared" si="28"/>
        <v>32 YR FLOATING RATE DEBT: PAY 12M/1Y RPI 1.7744% REAL RATE GBP 100.0 M MAT: 04-APR-2039</v>
      </c>
      <c r="F85" s="711" t="str">
        <f t="shared" si="28"/>
        <v>Inflation-linked</v>
      </c>
      <c r="G85" s="712" t="str">
        <f t="shared" si="28"/>
        <v>Senior</v>
      </c>
      <c r="H85" s="711" t="str">
        <f t="shared" si="28"/>
        <v>RPI 12 month</v>
      </c>
      <c r="I85" s="713">
        <f t="shared" si="28"/>
        <v>1.7743999999999999E-2</v>
      </c>
      <c r="J85" s="130"/>
      <c r="K85" s="131"/>
      <c r="L85" s="132"/>
      <c r="M85" s="779">
        <v>2.6</v>
      </c>
      <c r="N85" s="779">
        <v>2.883485794845551</v>
      </c>
      <c r="O85" s="779">
        <v>3.0159217147922437</v>
      </c>
      <c r="P85" s="779">
        <v>3.090158595382468</v>
      </c>
      <c r="Q85" s="779">
        <v>3.1697285068652952</v>
      </c>
      <c r="R85" s="779">
        <v>3.2648203620712541</v>
      </c>
      <c r="S85" s="779">
        <v>3.3627649729333919</v>
      </c>
      <c r="T85" s="779">
        <v>3.4636479221213938</v>
      </c>
      <c r="U85" s="779">
        <v>3.5675573597850359</v>
      </c>
      <c r="V85" s="779">
        <v>3.6745840805785872</v>
      </c>
    </row>
    <row r="86" spans="2:22" outlineLevel="1">
      <c r="B86" s="796" t="s">
        <v>981</v>
      </c>
      <c r="C86" s="709">
        <f t="shared" ref="C86:I86" si="29">C46</f>
        <v>39316</v>
      </c>
      <c r="D86" s="709">
        <f t="shared" si="29"/>
        <v>55753</v>
      </c>
      <c r="E86" s="710" t="str">
        <f t="shared" si="29"/>
        <v>45 YR FLOATING RATE DEBT: PAY 12M/1Y RPI 1.5803% REAL RATE GBP 75.0 M MAT: 22-AUG-2052</v>
      </c>
      <c r="F86" s="711" t="str">
        <f t="shared" si="29"/>
        <v>Inflation-linked</v>
      </c>
      <c r="G86" s="712" t="str">
        <f t="shared" si="29"/>
        <v>Senior</v>
      </c>
      <c r="H86" s="711" t="str">
        <f t="shared" si="29"/>
        <v>RPI 12 month</v>
      </c>
      <c r="I86" s="713">
        <f t="shared" si="29"/>
        <v>1.5803000000000001E-2</v>
      </c>
      <c r="J86" s="130"/>
      <c r="K86" s="131"/>
      <c r="L86" s="132"/>
      <c r="M86" s="779">
        <v>1.8</v>
      </c>
      <c r="N86" s="779">
        <v>1.9962593964315352</v>
      </c>
      <c r="O86" s="779">
        <v>2.0879458025484761</v>
      </c>
      <c r="P86" s="779">
        <v>2.1393405660340159</v>
      </c>
      <c r="Q86" s="779">
        <v>2.1944274278298193</v>
      </c>
      <c r="R86" s="779">
        <v>2.260260250664714</v>
      </c>
      <c r="S86" s="779">
        <v>2.3280680581846553</v>
      </c>
      <c r="T86" s="779">
        <v>2.3979100999301952</v>
      </c>
      <c r="U86" s="779">
        <v>2.4698474029281012</v>
      </c>
      <c r="V86" s="779">
        <v>2.5439428250159444</v>
      </c>
    </row>
    <row r="87" spans="2:22" outlineLevel="1">
      <c r="B87" s="796" t="s">
        <v>982</v>
      </c>
      <c r="C87" s="709">
        <f t="shared" ref="C87:I87" si="30">C47</f>
        <v>39381</v>
      </c>
      <c r="D87" s="709">
        <f t="shared" si="30"/>
        <v>50339</v>
      </c>
      <c r="E87" s="710" t="str">
        <f t="shared" si="30"/>
        <v>30 YR FLOATING RATE DEBT: PAY 12M/1Y RPI 1.8080% REAL RATE GBP 25.0 M MAT: 26-OCT-2037</v>
      </c>
      <c r="F87" s="711" t="str">
        <f t="shared" si="30"/>
        <v>Inflation-linked</v>
      </c>
      <c r="G87" s="712" t="str">
        <f t="shared" si="30"/>
        <v>Senior</v>
      </c>
      <c r="H87" s="711" t="str">
        <f t="shared" si="30"/>
        <v>RPI 12 month</v>
      </c>
      <c r="I87" s="713">
        <f t="shared" si="30"/>
        <v>1.8079999999999999E-2</v>
      </c>
      <c r="J87" s="130"/>
      <c r="K87" s="131"/>
      <c r="L87" s="132"/>
      <c r="M87" s="779">
        <v>0.7</v>
      </c>
      <c r="N87" s="779">
        <v>0.77632309861226367</v>
      </c>
      <c r="O87" s="779">
        <v>0.81197892321329623</v>
      </c>
      <c r="P87" s="779">
        <v>0.83196577567989505</v>
      </c>
      <c r="Q87" s="779">
        <v>0.85338844415604087</v>
      </c>
      <c r="R87" s="779">
        <v>0.8789900974807221</v>
      </c>
      <c r="S87" s="779">
        <v>0.90535980040514374</v>
      </c>
      <c r="T87" s="779">
        <v>0.93252059441729807</v>
      </c>
      <c r="U87" s="779">
        <v>0.96049621224981707</v>
      </c>
      <c r="V87" s="779">
        <v>0.98931109861731159</v>
      </c>
    </row>
    <row r="88" spans="2:22" outlineLevel="1">
      <c r="B88" s="796" t="s">
        <v>983</v>
      </c>
      <c r="C88" s="709">
        <f t="shared" ref="C88:I88" si="31">C48</f>
        <v>40388</v>
      </c>
      <c r="D88" s="709">
        <f t="shared" si="31"/>
        <v>51711</v>
      </c>
      <c r="E88" s="710" t="str">
        <f t="shared" si="31"/>
        <v>31 YR FLOATING RATE DEBT: PAY 12M/1Y RPI 2.4840% REAL RATE GBP 50.0 M MAT: 29-JUL-2041</v>
      </c>
      <c r="F88" s="711" t="str">
        <f t="shared" si="31"/>
        <v>Inflation-linked</v>
      </c>
      <c r="G88" s="712" t="str">
        <f t="shared" si="31"/>
        <v>Senior</v>
      </c>
      <c r="H88" s="711" t="str">
        <f t="shared" si="31"/>
        <v>RPI 12 month</v>
      </c>
      <c r="I88" s="713">
        <f t="shared" si="31"/>
        <v>2.4840000000000001E-2</v>
      </c>
      <c r="J88" s="130"/>
      <c r="K88" s="131"/>
      <c r="L88" s="132"/>
      <c r="M88" s="779">
        <v>1.2</v>
      </c>
      <c r="N88" s="779">
        <v>1.3308395976210234</v>
      </c>
      <c r="O88" s="779">
        <v>1.3919638683656508</v>
      </c>
      <c r="P88" s="779">
        <v>1.4262270440226772</v>
      </c>
      <c r="Q88" s="779">
        <v>1.462951618553213</v>
      </c>
      <c r="R88" s="779">
        <v>1.5068401671098095</v>
      </c>
      <c r="S88" s="779">
        <v>1.5520453721231038</v>
      </c>
      <c r="T88" s="779">
        <v>1.598606733286797</v>
      </c>
      <c r="U88" s="779">
        <v>1.646564935285401</v>
      </c>
      <c r="V88" s="779">
        <v>1.6959618833439631</v>
      </c>
    </row>
    <row r="89" spans="2:22" outlineLevel="1">
      <c r="B89" s="796" t="s">
        <v>984</v>
      </c>
      <c r="C89" s="709">
        <f t="shared" ref="C89:I89" si="32">C49</f>
        <v>33546</v>
      </c>
      <c r="D89" s="709">
        <f t="shared" si="32"/>
        <v>44504</v>
      </c>
      <c r="E89" s="710" t="str">
        <f t="shared" si="32"/>
        <v>30 YR DISCOUNT DEBT Issued: PRICE 8.52% USD 1474.0 M MAT: 04-NOV-2021</v>
      </c>
      <c r="F89" s="711" t="str">
        <f t="shared" si="32"/>
        <v>Fixed rate</v>
      </c>
      <c r="G89" s="712" t="str">
        <f t="shared" si="32"/>
        <v>Senior</v>
      </c>
      <c r="H89" s="711" t="str">
        <f t="shared" si="32"/>
        <v>Not applicable</v>
      </c>
      <c r="I89" s="713">
        <f t="shared" si="32"/>
        <v>8.5199999999999998E-2</v>
      </c>
      <c r="J89" s="130"/>
      <c r="K89" s="131"/>
      <c r="L89" s="132"/>
      <c r="M89" s="779">
        <v>0</v>
      </c>
      <c r="N89" s="779">
        <v>0</v>
      </c>
      <c r="O89" s="779">
        <v>0</v>
      </c>
      <c r="P89" s="779">
        <v>0</v>
      </c>
      <c r="Q89" s="779">
        <v>0</v>
      </c>
      <c r="R89" s="779">
        <v>0</v>
      </c>
      <c r="S89" s="779">
        <v>0</v>
      </c>
      <c r="T89" s="779">
        <v>0</v>
      </c>
      <c r="U89" s="779">
        <v>0</v>
      </c>
      <c r="V89" s="779">
        <v>0</v>
      </c>
    </row>
    <row r="90" spans="2:22" outlineLevel="1">
      <c r="B90" s="796" t="s">
        <v>985</v>
      </c>
      <c r="C90" s="709">
        <f t="shared" ref="C90:I90" si="33">C50</f>
        <v>43861</v>
      </c>
      <c r="D90" s="709">
        <f t="shared" si="33"/>
        <v>47886</v>
      </c>
      <c r="E90" s="710" t="str">
        <f t="shared" si="33"/>
        <v>11.0 YR FIXED RATE DEBT: PAY 1.37500% GBP 300.0 M MAT: 07-FEB-2031</v>
      </c>
      <c r="F90" s="711" t="str">
        <f t="shared" si="33"/>
        <v>Fixed rate</v>
      </c>
      <c r="G90" s="712" t="str">
        <f t="shared" si="33"/>
        <v>Senior</v>
      </c>
      <c r="H90" s="711" t="str">
        <f t="shared" si="33"/>
        <v>Not applicable</v>
      </c>
      <c r="I90" s="713">
        <f t="shared" si="33"/>
        <v>1.375E-2</v>
      </c>
      <c r="J90" s="130"/>
      <c r="K90" s="131"/>
      <c r="L90" s="132"/>
      <c r="M90" s="779">
        <v>4.0999999999999996</v>
      </c>
      <c r="N90" s="779">
        <v>4.3837047900000004</v>
      </c>
      <c r="O90" s="779">
        <v>4.4054803399999996</v>
      </c>
      <c r="P90" s="779">
        <v>4.3855262000000002</v>
      </c>
      <c r="Q90" s="779">
        <v>4.3955846799999998</v>
      </c>
      <c r="R90" s="779">
        <v>4.3957474900000006</v>
      </c>
      <c r="S90" s="779">
        <v>4.4054803399999996</v>
      </c>
      <c r="T90" s="779">
        <v>4.3855262000000002</v>
      </c>
      <c r="U90" s="779">
        <v>4.3955846799999998</v>
      </c>
      <c r="V90" s="779">
        <v>3.7693643999999997</v>
      </c>
    </row>
    <row r="91" spans="2:22" outlineLevel="1">
      <c r="B91" s="796" t="s">
        <v>986</v>
      </c>
      <c r="C91" s="709">
        <f t="shared" ref="C91:I91" si="34">C51</f>
        <v>44210</v>
      </c>
      <c r="D91" s="709">
        <f t="shared" si="34"/>
        <v>48593</v>
      </c>
      <c r="E91" s="710" t="str">
        <f t="shared" si="34"/>
        <v>12 YR FIXED RATE DEBT: PAY 1.12500% GBP 250.0 M MAT: 14-JAN-2033</v>
      </c>
      <c r="F91" s="711" t="str">
        <f t="shared" si="34"/>
        <v>Fixed rate</v>
      </c>
      <c r="G91" s="712" t="str">
        <f t="shared" si="34"/>
        <v>Senior</v>
      </c>
      <c r="H91" s="711" t="str">
        <f t="shared" si="34"/>
        <v>Not applicable</v>
      </c>
      <c r="I91" s="713">
        <f t="shared" si="34"/>
        <v>1.125E-2</v>
      </c>
      <c r="J91" s="130"/>
      <c r="K91" s="131"/>
      <c r="L91" s="132"/>
      <c r="M91" s="779">
        <v>2.8</v>
      </c>
      <c r="N91" s="779">
        <v>2.9677498399999998</v>
      </c>
      <c r="O91" s="779">
        <v>2.9821531400000003</v>
      </c>
      <c r="P91" s="779">
        <v>2.9694815600000002</v>
      </c>
      <c r="Q91" s="779">
        <v>2.9758458500000002</v>
      </c>
      <c r="R91" s="779">
        <v>2.9759028400000003</v>
      </c>
      <c r="S91" s="779">
        <v>2.9821531400000003</v>
      </c>
      <c r="T91" s="779">
        <v>2.9694815600000002</v>
      </c>
      <c r="U91" s="779">
        <v>2.9758458500000002</v>
      </c>
      <c r="V91" s="779">
        <v>2.9759028400000003</v>
      </c>
    </row>
    <row r="92" spans="2:22" outlineLevel="1">
      <c r="B92" s="796" t="s">
        <v>987</v>
      </c>
      <c r="C92" s="709">
        <f t="shared" ref="C92:I92" si="35">C52</f>
        <v>44210</v>
      </c>
      <c r="D92" s="709">
        <f t="shared" si="35"/>
        <v>52245</v>
      </c>
      <c r="E92" s="710" t="str">
        <f t="shared" si="35"/>
        <v>22 YR FIXED RATE DEBT: PAY 1.62500% GBP 250.0 M MAT: 14-JAN-2043</v>
      </c>
      <c r="F92" s="711" t="str">
        <f t="shared" si="35"/>
        <v>Fixed rate</v>
      </c>
      <c r="G92" s="712" t="str">
        <f t="shared" si="35"/>
        <v>Senior</v>
      </c>
      <c r="H92" s="711" t="str">
        <f t="shared" si="35"/>
        <v>Not applicable</v>
      </c>
      <c r="I92" s="713">
        <f t="shared" si="35"/>
        <v>1.6250000000000001E-2</v>
      </c>
      <c r="J92" s="130"/>
      <c r="K92" s="131"/>
      <c r="L92" s="132"/>
      <c r="M92" s="779">
        <v>4.0999999999999996</v>
      </c>
      <c r="N92" s="779">
        <v>4.1195630000000003</v>
      </c>
      <c r="O92" s="779">
        <v>4.1395620900000001</v>
      </c>
      <c r="P92" s="779">
        <v>4.1219514299999993</v>
      </c>
      <c r="Q92" s="779">
        <v>4.13079792</v>
      </c>
      <c r="R92" s="779">
        <v>4.1308802399999998</v>
      </c>
      <c r="S92" s="779">
        <v>4.1395620900000001</v>
      </c>
      <c r="T92" s="779">
        <v>4.1219514299999993</v>
      </c>
      <c r="U92" s="779">
        <v>4.13079792</v>
      </c>
      <c r="V92" s="779">
        <v>4.1308802399999998</v>
      </c>
    </row>
    <row r="93" spans="2:22" outlineLevel="1">
      <c r="C93" s="98"/>
      <c r="D93" s="98"/>
      <c r="E93" s="98"/>
      <c r="F93" s="98"/>
      <c r="L93" s="536" t="s">
        <v>309</v>
      </c>
      <c r="M93" s="780">
        <f t="shared" ref="M93:V93" si="36">SUM(M59:M92)</f>
        <v>89.699999999999989</v>
      </c>
      <c r="N93" s="780">
        <f t="shared" si="36"/>
        <v>90.185405930029034</v>
      </c>
      <c r="O93" s="780">
        <f t="shared" si="36"/>
        <v>76.229273762548459</v>
      </c>
      <c r="P93" s="780">
        <f t="shared" si="36"/>
        <v>75.593954050382891</v>
      </c>
      <c r="Q93" s="780">
        <f t="shared" si="36"/>
        <v>71.612681509305645</v>
      </c>
      <c r="R93" s="780">
        <f t="shared" si="36"/>
        <v>72.654306857884805</v>
      </c>
      <c r="S93" s="780">
        <f t="shared" si="36"/>
        <v>73.864816336221352</v>
      </c>
      <c r="T93" s="780">
        <f t="shared" si="36"/>
        <v>73.036440746308003</v>
      </c>
      <c r="U93" s="780">
        <f t="shared" si="36"/>
        <v>69.012105296097261</v>
      </c>
      <c r="V93" s="780">
        <f t="shared" si="36"/>
        <v>67.922334032280176</v>
      </c>
    </row>
    <row r="94" spans="2:22" outlineLevel="1">
      <c r="B94" s="101"/>
      <c r="C94" s="98"/>
      <c r="L94" s="114"/>
      <c r="U94" s="179"/>
    </row>
    <row r="95" spans="2:22" ht="17.5" outlineLevel="1">
      <c r="B95" s="101"/>
      <c r="C95" s="164" t="s">
        <v>405</v>
      </c>
      <c r="D95" s="165"/>
      <c r="E95" s="165"/>
      <c r="F95" s="165"/>
      <c r="G95" s="165"/>
      <c r="H95" s="165"/>
      <c r="I95" s="165"/>
      <c r="J95" s="165"/>
      <c r="K95" s="165"/>
      <c r="L95" s="194"/>
      <c r="M95" s="165"/>
      <c r="N95" s="165"/>
      <c r="O95" s="165"/>
      <c r="P95" s="165"/>
      <c r="Q95" s="165"/>
      <c r="R95" s="165"/>
      <c r="S95" s="165"/>
      <c r="T95" s="165"/>
      <c r="U95" s="178"/>
      <c r="V95" s="165"/>
    </row>
    <row r="96" spans="2:22" ht="17.5" outlineLevel="1">
      <c r="B96" s="101"/>
      <c r="C96" s="102"/>
      <c r="L96" s="114"/>
      <c r="U96" s="179"/>
    </row>
    <row r="97" spans="2:22" ht="17.5" outlineLevel="1">
      <c r="B97" s="101"/>
      <c r="C97" s="98"/>
      <c r="D97" s="166" t="s">
        <v>396</v>
      </c>
      <c r="E97" s="167"/>
      <c r="F97" s="167"/>
      <c r="G97" s="167"/>
      <c r="H97" s="167"/>
      <c r="I97" s="167"/>
      <c r="J97" s="167"/>
      <c r="K97" s="167"/>
      <c r="L97" s="193"/>
      <c r="M97" s="167"/>
      <c r="N97" s="167"/>
      <c r="O97" s="167"/>
      <c r="P97" s="167"/>
      <c r="Q97" s="167"/>
      <c r="R97" s="167"/>
      <c r="S97" s="167"/>
      <c r="T97" s="167"/>
      <c r="U97" s="180"/>
      <c r="V97" s="167"/>
    </row>
    <row r="98" spans="2:22" ht="17.5" outlineLevel="1">
      <c r="B98" s="101"/>
      <c r="C98" s="98"/>
      <c r="D98" s="102"/>
      <c r="L98" s="114"/>
      <c r="U98" s="179"/>
    </row>
    <row r="99" spans="2:22" ht="40.5" outlineLevel="1">
      <c r="B99" s="697" t="s">
        <v>397</v>
      </c>
      <c r="C99" s="700" t="str">
        <f>IF('R6a - Net Debt input'!D64 = "","",'R6a - Net Debt input'!D64)</f>
        <v>Issue date</v>
      </c>
      <c r="D99" s="700" t="str">
        <f>IF('R6a - Net Debt input'!E64 = "","",'R6a - Net Debt input'!E64)</f>
        <v>Maturity date</v>
      </c>
      <c r="E99" s="700" t="str">
        <f>IF('R6a - Net Debt input'!F64 = "","",'R6a - Net Debt input'!F64)</f>
        <v>Description</v>
      </c>
      <c r="F99" s="700" t="str">
        <f>IF('R6a - Net Debt input'!G64 = "","",'R6a - Net Debt input'!G64)</f>
        <v>Loan type</v>
      </c>
      <c r="G99" s="700" t="str">
        <f>IF('R6a - Net Debt input'!H64 = "","",'R6a - Net Debt input'!H64)</f>
        <v>Payment rank</v>
      </c>
      <c r="H99" s="714" t="str">
        <f>IF('R6a - Net Debt input'!I64 = "","",'R6a - Net Debt input'!I64)</f>
        <v>Reference rate</v>
      </c>
      <c r="I99" s="714" t="str">
        <f>IF('R6a - Net Debt input'!J64 = "","",'R6a - Net Debt input'!J64)</f>
        <v>Interest rate / margin spread on reference rate</v>
      </c>
      <c r="L99" s="114"/>
      <c r="U99" s="179"/>
    </row>
    <row r="100" spans="2:22" outlineLevel="1">
      <c r="B100" s="537"/>
      <c r="C100" s="700" t="str">
        <f>IF('R6a - Net Debt input'!D65 = "","",'R6a - Net Debt input'!D65)</f>
        <v>dd/mm/yyyy</v>
      </c>
      <c r="D100" s="700" t="str">
        <f>IF('R6a - Net Debt input'!E65 = "","",'R6a - Net Debt input'!E65)</f>
        <v>dd/mm/yyyy</v>
      </c>
      <c r="E100" s="700" t="str">
        <f>IF('R6a - Net Debt input'!F65 = "","",'R6a - Net Debt input'!F65)</f>
        <v/>
      </c>
      <c r="F100" s="700" t="str">
        <f>IF('R6a - Net Debt input'!G65 = "","",'R6a - Net Debt input'!G65)</f>
        <v/>
      </c>
      <c r="G100" s="700" t="str">
        <f>IF('R6a - Net Debt input'!H65 = "","",'R6a - Net Debt input'!H65)</f>
        <v/>
      </c>
      <c r="H100" s="700" t="str">
        <f>IF('R6a - Net Debt input'!I65 = "","",'R6a - Net Debt input'!I65)</f>
        <v/>
      </c>
      <c r="I100" s="700" t="str">
        <f>IF('R6a - Net Debt input'!J65 = "","",'R6a - Net Debt input'!J65)</f>
        <v xml:space="preserve">% </v>
      </c>
      <c r="L100" s="114"/>
      <c r="M100" s="707" t="s">
        <v>398</v>
      </c>
      <c r="N100" s="707" t="s">
        <v>398</v>
      </c>
      <c r="O100" s="707" t="s">
        <v>398</v>
      </c>
      <c r="P100" s="707" t="s">
        <v>398</v>
      </c>
      <c r="Q100" s="707" t="s">
        <v>398</v>
      </c>
      <c r="R100" s="707" t="s">
        <v>398</v>
      </c>
      <c r="S100" s="707" t="s">
        <v>398</v>
      </c>
      <c r="T100" s="707" t="s">
        <v>398</v>
      </c>
      <c r="U100" s="707" t="s">
        <v>398</v>
      </c>
      <c r="V100" s="707" t="s">
        <v>398</v>
      </c>
    </row>
    <row r="101" spans="2:22" outlineLevel="1">
      <c r="B101" s="701" t="str">
        <f>'R6a - Net Debt input'!B66</f>
        <v>B2.1</v>
      </c>
      <c r="C101" s="702">
        <f>IF('R6a - Net Debt input'!D66 = "","",'R6a - Net Debt input'!D66)</f>
        <v>39163</v>
      </c>
      <c r="D101" s="702">
        <f>IF('R6a - Net Debt input'!E66 = "","",'R6a - Net Debt input'!E66)</f>
        <v>44642</v>
      </c>
      <c r="E101" s="715" t="str">
        <f>IF('R6a - Net Debt input'!F66 = "","",'R6a - Net Debt input'!F66)</f>
        <v>15 YR FLOATING RATE DEBT: PAY 12M/1Y RPI 1.8800% REAL RATE GBP 180.0 M MAT: 22-MAR-2022</v>
      </c>
      <c r="F101" s="716" t="str">
        <f>IF('R6a - Net Debt input'!G66 = "","",'R6a - Net Debt input'!G66)</f>
        <v>Inflation-linked</v>
      </c>
      <c r="G101" s="717" t="str">
        <f>IF('R6a - Net Debt input'!H66 = "","",'R6a - Net Debt input'!H66)</f>
        <v>Senior</v>
      </c>
      <c r="H101" s="716" t="str">
        <f>IF('R6a - Net Debt input'!I66 = "","",'R6a - Net Debt input'!I66)</f>
        <v>RPI 12 month</v>
      </c>
      <c r="I101" s="706">
        <f>IF('R6a - Net Debt input'!J66 = "","",'R6a - Net Debt input'!J66)</f>
        <v>1.8800000000000001E-2</v>
      </c>
      <c r="J101" s="130"/>
      <c r="K101" s="131"/>
      <c r="L101" s="132"/>
      <c r="M101" s="779">
        <v>15.2</v>
      </c>
      <c r="N101" s="779">
        <v>0</v>
      </c>
      <c r="O101" s="779">
        <v>0</v>
      </c>
      <c r="P101" s="779">
        <v>0</v>
      </c>
      <c r="Q101" s="779">
        <v>0</v>
      </c>
      <c r="R101" s="779">
        <v>0</v>
      </c>
      <c r="S101" s="779">
        <v>0</v>
      </c>
      <c r="T101" s="779">
        <v>0</v>
      </c>
      <c r="U101" s="779">
        <v>0</v>
      </c>
      <c r="V101" s="779">
        <v>0</v>
      </c>
    </row>
    <row r="102" spans="2:22" outlineLevel="1">
      <c r="B102" s="701" t="str">
        <f>'R6a - Net Debt input'!B67</f>
        <v>B2.2</v>
      </c>
      <c r="C102" s="702">
        <f>IF('R6a - Net Debt input'!D67 = "","",'R6a - Net Debt input'!D67)</f>
        <v>39205</v>
      </c>
      <c r="D102" s="702">
        <f>IF('R6a - Net Debt input'!E67 = "","",'R6a - Net Debt input'!E67)</f>
        <v>44684</v>
      </c>
      <c r="E102" s="715" t="str">
        <f>IF('R6a - Net Debt input'!F67 = "","",'R6a - Net Debt input'!F67)</f>
        <v>15 YR FLOATING RATE DEBT: PAY 12M/1Y RPI 2.1400% REAL RATE GBP 190.0 M MAT: 03-MAY-2022</v>
      </c>
      <c r="F102" s="716" t="str">
        <f>IF('R6a - Net Debt input'!G67 = "","",'R6a - Net Debt input'!G67)</f>
        <v>Inflation-linked</v>
      </c>
      <c r="G102" s="717" t="str">
        <f>IF('R6a - Net Debt input'!H67 = "","",'R6a - Net Debt input'!H67)</f>
        <v>Senior</v>
      </c>
      <c r="H102" s="716" t="str">
        <f>IF('R6a - Net Debt input'!I67 = "","",'R6a - Net Debt input'!I67)</f>
        <v>RPI 12 month</v>
      </c>
      <c r="I102" s="706">
        <f>IF('R6a - Net Debt input'!J67 = "","",'R6a - Net Debt input'!J67)</f>
        <v>2.1399999999999999E-2</v>
      </c>
      <c r="J102" s="130"/>
      <c r="K102" s="131"/>
      <c r="L102" s="132"/>
      <c r="M102" s="779">
        <v>18</v>
      </c>
      <c r="N102" s="779">
        <v>2.5184170799999999</v>
      </c>
      <c r="O102" s="779">
        <v>0</v>
      </c>
      <c r="P102" s="779">
        <v>0</v>
      </c>
      <c r="Q102" s="779">
        <v>0</v>
      </c>
      <c r="R102" s="779">
        <v>0</v>
      </c>
      <c r="S102" s="779">
        <v>0</v>
      </c>
      <c r="T102" s="779">
        <v>0</v>
      </c>
      <c r="U102" s="779">
        <v>0</v>
      </c>
      <c r="V102" s="779">
        <v>0</v>
      </c>
    </row>
    <row r="103" spans="2:22" outlineLevel="1">
      <c r="B103" s="701" t="str">
        <f>'R6a - Net Debt input'!B68</f>
        <v>B2.3</v>
      </c>
      <c r="C103" s="702" t="str">
        <f>IF('R6a - Net Debt input'!D68 = "","",'R6a - Net Debt input'!D68)</f>
        <v/>
      </c>
      <c r="D103" s="702" t="str">
        <f>IF('R6a - Net Debt input'!E68 = "","",'R6a - Net Debt input'!E68)</f>
        <v/>
      </c>
      <c r="E103" s="715" t="str">
        <f>IF('R6a - Net Debt input'!F68 = "","",'R6a - Net Debt input'!F68)</f>
        <v/>
      </c>
      <c r="F103" s="716" t="str">
        <f>IF('R6a - Net Debt input'!G68 = "","",'R6a - Net Debt input'!G68)</f>
        <v/>
      </c>
      <c r="G103" s="717" t="str">
        <f>IF('R6a - Net Debt input'!H68 = "","",'R6a - Net Debt input'!H68)</f>
        <v/>
      </c>
      <c r="H103" s="716" t="str">
        <f>IF('R6a - Net Debt input'!I68 = "","",'R6a - Net Debt input'!I68)</f>
        <v/>
      </c>
      <c r="I103" s="706" t="str">
        <f>IF('R6a - Net Debt input'!J68 = "","",'R6a - Net Debt input'!J68)</f>
        <v/>
      </c>
      <c r="J103" s="130"/>
      <c r="K103" s="131"/>
      <c r="L103" s="132"/>
      <c r="M103" s="779">
        <v>0</v>
      </c>
      <c r="N103" s="779">
        <v>0</v>
      </c>
      <c r="O103" s="779">
        <v>0</v>
      </c>
      <c r="P103" s="779">
        <v>0</v>
      </c>
      <c r="Q103" s="779">
        <v>0</v>
      </c>
      <c r="R103" s="779">
        <v>0</v>
      </c>
      <c r="S103" s="779">
        <v>0</v>
      </c>
      <c r="T103" s="779">
        <v>0</v>
      </c>
      <c r="U103" s="779">
        <v>0</v>
      </c>
      <c r="V103" s="779">
        <v>0</v>
      </c>
    </row>
    <row r="104" spans="2:22" outlineLevel="1">
      <c r="B104" s="701" t="str">
        <f>'R6a - Net Debt input'!B69</f>
        <v>B2.4</v>
      </c>
      <c r="C104" s="702" t="str">
        <f>IF('R6a - Net Debt input'!D69 = "","",'R6a - Net Debt input'!D69)</f>
        <v>IFRS 16 Right of Use Lease Liability</v>
      </c>
      <c r="D104" s="702" t="str">
        <f>IF('R6a - Net Debt input'!E69 = "","",'R6a - Net Debt input'!E69)</f>
        <v>IFRS 16 Right of Use Lease Liability</v>
      </c>
      <c r="E104" s="715" t="str">
        <f>IF('R6a - Net Debt input'!F69 = "","",'R6a - Net Debt input'!F69)</f>
        <v>IFRS 16 Right of Use Lease Liability</v>
      </c>
      <c r="F104" s="716" t="str">
        <f>IF('R6a - Net Debt input'!G69 = "","",'R6a - Net Debt input'!G69)</f>
        <v/>
      </c>
      <c r="G104" s="717" t="str">
        <f>IF('R6a - Net Debt input'!H69 = "","",'R6a - Net Debt input'!H69)</f>
        <v/>
      </c>
      <c r="H104" s="716" t="str">
        <f>IF('R6a - Net Debt input'!I69 = "","",'R6a - Net Debt input'!I69)</f>
        <v/>
      </c>
      <c r="I104" s="706" t="str">
        <f>IF('R6a - Net Debt input'!J69 = "","",'R6a - Net Debt input'!J69)</f>
        <v/>
      </c>
      <c r="J104" s="130"/>
      <c r="K104" s="131"/>
      <c r="L104" s="132"/>
      <c r="M104" s="779">
        <v>0.2</v>
      </c>
      <c r="N104" s="779">
        <v>0.2</v>
      </c>
      <c r="O104" s="779">
        <v>0.2</v>
      </c>
      <c r="P104" s="779">
        <v>0.2</v>
      </c>
      <c r="Q104" s="779">
        <v>0.2</v>
      </c>
      <c r="R104" s="779">
        <v>0.2</v>
      </c>
      <c r="S104" s="779">
        <v>0.2</v>
      </c>
      <c r="T104" s="779">
        <v>0.2</v>
      </c>
      <c r="U104" s="779">
        <v>0.2</v>
      </c>
      <c r="V104" s="779">
        <v>0.2</v>
      </c>
    </row>
    <row r="105" spans="2:22" outlineLevel="1">
      <c r="B105" s="701" t="str">
        <f>'R6a - Net Debt input'!B70</f>
        <v>B2.5</v>
      </c>
      <c r="C105" s="702" t="str">
        <f>IF('R6a - Net Debt input'!D70 = "","",'R6a - Net Debt input'!D70)</f>
        <v/>
      </c>
      <c r="D105" s="702" t="str">
        <f>IF('R6a - Net Debt input'!E70 = "","",'R6a - Net Debt input'!E70)</f>
        <v/>
      </c>
      <c r="E105" s="715" t="str">
        <f>IF('R6a - Net Debt input'!F70 = "","",'R6a - Net Debt input'!F70)</f>
        <v/>
      </c>
      <c r="F105" s="716" t="str">
        <f>IF('R6a - Net Debt input'!G70 = "","",'R6a - Net Debt input'!G70)</f>
        <v/>
      </c>
      <c r="G105" s="717" t="str">
        <f>IF('R6a - Net Debt input'!H70 = "","",'R6a - Net Debt input'!H70)</f>
        <v/>
      </c>
      <c r="H105" s="716" t="str">
        <f>IF('R6a - Net Debt input'!I70 = "","",'R6a - Net Debt input'!I70)</f>
        <v/>
      </c>
      <c r="I105" s="706" t="str">
        <f>IF('R6a - Net Debt input'!J70 = "","",'R6a - Net Debt input'!J70)</f>
        <v/>
      </c>
      <c r="J105" s="130"/>
      <c r="K105" s="131"/>
      <c r="L105" s="132"/>
      <c r="M105" s="779">
        <v>0</v>
      </c>
      <c r="N105" s="779">
        <v>0</v>
      </c>
      <c r="O105" s="779">
        <v>0</v>
      </c>
      <c r="P105" s="779">
        <v>0</v>
      </c>
      <c r="Q105" s="779">
        <v>0</v>
      </c>
      <c r="R105" s="779">
        <v>0</v>
      </c>
      <c r="S105" s="779">
        <v>0</v>
      </c>
      <c r="T105" s="779">
        <v>0</v>
      </c>
      <c r="U105" s="779">
        <v>0</v>
      </c>
      <c r="V105" s="779">
        <v>0</v>
      </c>
    </row>
    <row r="106" spans="2:22" outlineLevel="1">
      <c r="B106" s="701" t="str">
        <f>'R6a - Net Debt input'!B71</f>
        <v>B2.6</v>
      </c>
      <c r="C106" s="702" t="str">
        <f>IF('R6a - Net Debt input'!D71 = "","",'R6a - Net Debt input'!D71)</f>
        <v/>
      </c>
      <c r="D106" s="702" t="str">
        <f>IF('R6a - Net Debt input'!E71 = "","",'R6a - Net Debt input'!E71)</f>
        <v/>
      </c>
      <c r="E106" s="715" t="str">
        <f>IF('R6a - Net Debt input'!F71 = "","",'R6a - Net Debt input'!F71)</f>
        <v/>
      </c>
      <c r="F106" s="716" t="str">
        <f>IF('R6a - Net Debt input'!G71 = "","",'R6a - Net Debt input'!G71)</f>
        <v/>
      </c>
      <c r="G106" s="717" t="str">
        <f>IF('R6a - Net Debt input'!H71 = "","",'R6a - Net Debt input'!H71)</f>
        <v/>
      </c>
      <c r="H106" s="716" t="str">
        <f>IF('R6a - Net Debt input'!I71 = "","",'R6a - Net Debt input'!I71)</f>
        <v/>
      </c>
      <c r="I106" s="706" t="str">
        <f>IF('R6a - Net Debt input'!J71 = "","",'R6a - Net Debt input'!J71)</f>
        <v/>
      </c>
      <c r="J106" s="130"/>
      <c r="K106" s="131"/>
      <c r="L106" s="132"/>
      <c r="M106" s="779">
        <v>0</v>
      </c>
      <c r="N106" s="779">
        <v>0</v>
      </c>
      <c r="O106" s="779">
        <v>0</v>
      </c>
      <c r="P106" s="779">
        <v>0</v>
      </c>
      <c r="Q106" s="779">
        <v>0</v>
      </c>
      <c r="R106" s="779">
        <v>0</v>
      </c>
      <c r="S106" s="779">
        <v>0</v>
      </c>
      <c r="T106" s="779">
        <v>0</v>
      </c>
      <c r="U106" s="779">
        <v>0</v>
      </c>
      <c r="V106" s="779">
        <v>0</v>
      </c>
    </row>
    <row r="107" spans="2:22" outlineLevel="1">
      <c r="B107" s="701" t="str">
        <f>'R6a - Net Debt input'!B72</f>
        <v>B2.7</v>
      </c>
      <c r="C107" s="702" t="str">
        <f>IF('R6a - Net Debt input'!D72 = "","",'R6a - Net Debt input'!D72)</f>
        <v/>
      </c>
      <c r="D107" s="702" t="str">
        <f>IF('R6a - Net Debt input'!E72 = "","",'R6a - Net Debt input'!E72)</f>
        <v/>
      </c>
      <c r="E107" s="715" t="str">
        <f>IF('R6a - Net Debt input'!F72 = "","",'R6a - Net Debt input'!F72)</f>
        <v/>
      </c>
      <c r="F107" s="716" t="str">
        <f>IF('R6a - Net Debt input'!G72 = "","",'R6a - Net Debt input'!G72)</f>
        <v/>
      </c>
      <c r="G107" s="717" t="str">
        <f>IF('R6a - Net Debt input'!H72 = "","",'R6a - Net Debt input'!H72)</f>
        <v/>
      </c>
      <c r="H107" s="716" t="str">
        <f>IF('R6a - Net Debt input'!I72 = "","",'R6a - Net Debt input'!I72)</f>
        <v/>
      </c>
      <c r="I107" s="706" t="str">
        <f>IF('R6a - Net Debt input'!J72 = "","",'R6a - Net Debt input'!J72)</f>
        <v/>
      </c>
      <c r="J107" s="130"/>
      <c r="K107" s="131"/>
      <c r="L107" s="132"/>
      <c r="M107" s="779">
        <v>0</v>
      </c>
      <c r="N107" s="779">
        <v>0</v>
      </c>
      <c r="O107" s="779">
        <v>0</v>
      </c>
      <c r="P107" s="779">
        <v>0</v>
      </c>
      <c r="Q107" s="779">
        <v>0</v>
      </c>
      <c r="R107" s="779">
        <v>0</v>
      </c>
      <c r="S107" s="779">
        <v>0</v>
      </c>
      <c r="T107" s="779">
        <v>0</v>
      </c>
      <c r="U107" s="779">
        <v>0</v>
      </c>
      <c r="V107" s="779">
        <v>0</v>
      </c>
    </row>
    <row r="108" spans="2:22" outlineLevel="1">
      <c r="B108" s="701" t="str">
        <f>'R6a - Net Debt input'!B73</f>
        <v>B2.8</v>
      </c>
      <c r="C108" s="702" t="str">
        <f>IF('R6a - Net Debt input'!D73 = "","",'R6a - Net Debt input'!D73)</f>
        <v/>
      </c>
      <c r="D108" s="702" t="str">
        <f>IF('R6a - Net Debt input'!E73 = "","",'R6a - Net Debt input'!E73)</f>
        <v/>
      </c>
      <c r="E108" s="715" t="str">
        <f>IF('R6a - Net Debt input'!F73 = "","",'R6a - Net Debt input'!F73)</f>
        <v/>
      </c>
      <c r="F108" s="716" t="str">
        <f>IF('R6a - Net Debt input'!G73 = "","",'R6a - Net Debt input'!G73)</f>
        <v/>
      </c>
      <c r="G108" s="717" t="str">
        <f>IF('R6a - Net Debt input'!H73 = "","",'R6a - Net Debt input'!H73)</f>
        <v/>
      </c>
      <c r="H108" s="716" t="str">
        <f>IF('R6a - Net Debt input'!I73 = "","",'R6a - Net Debt input'!I73)</f>
        <v/>
      </c>
      <c r="I108" s="706" t="str">
        <f>IF('R6a - Net Debt input'!J73 = "","",'R6a - Net Debt input'!J73)</f>
        <v/>
      </c>
      <c r="J108" s="130"/>
      <c r="K108" s="131"/>
      <c r="L108" s="132"/>
      <c r="M108" s="779">
        <v>0</v>
      </c>
      <c r="N108" s="779">
        <v>0</v>
      </c>
      <c r="O108" s="779">
        <v>0</v>
      </c>
      <c r="P108" s="779">
        <v>0</v>
      </c>
      <c r="Q108" s="779">
        <v>0</v>
      </c>
      <c r="R108" s="779">
        <v>0</v>
      </c>
      <c r="S108" s="779">
        <v>0</v>
      </c>
      <c r="T108" s="779">
        <v>0</v>
      </c>
      <c r="U108" s="779">
        <v>0</v>
      </c>
      <c r="V108" s="779">
        <v>0</v>
      </c>
    </row>
    <row r="109" spans="2:22" outlineLevel="1">
      <c r="B109" s="701" t="str">
        <f>'R6a - Net Debt input'!B74</f>
        <v>B2.9</v>
      </c>
      <c r="C109" s="702" t="str">
        <f>IF('R6a - Net Debt input'!D74 = "","",'R6a - Net Debt input'!D74)</f>
        <v/>
      </c>
      <c r="D109" s="702" t="str">
        <f>IF('R6a - Net Debt input'!E74 = "","",'R6a - Net Debt input'!E74)</f>
        <v/>
      </c>
      <c r="E109" s="715" t="str">
        <f>IF('R6a - Net Debt input'!F74 = "","",'R6a - Net Debt input'!F74)</f>
        <v/>
      </c>
      <c r="F109" s="716" t="str">
        <f>IF('R6a - Net Debt input'!G74 = "","",'R6a - Net Debt input'!G74)</f>
        <v/>
      </c>
      <c r="G109" s="717" t="str">
        <f>IF('R6a - Net Debt input'!H74 = "","",'R6a - Net Debt input'!H74)</f>
        <v/>
      </c>
      <c r="H109" s="716" t="str">
        <f>IF('R6a - Net Debt input'!I74 = "","",'R6a - Net Debt input'!I74)</f>
        <v/>
      </c>
      <c r="I109" s="706" t="str">
        <f>IF('R6a - Net Debt input'!J74 = "","",'R6a - Net Debt input'!J74)</f>
        <v/>
      </c>
      <c r="J109" s="130"/>
      <c r="K109" s="131"/>
      <c r="L109" s="132"/>
      <c r="M109" s="779">
        <v>0</v>
      </c>
      <c r="N109" s="779">
        <v>0</v>
      </c>
      <c r="O109" s="779">
        <v>0</v>
      </c>
      <c r="P109" s="779">
        <v>0</v>
      </c>
      <c r="Q109" s="779">
        <v>0</v>
      </c>
      <c r="R109" s="779">
        <v>0</v>
      </c>
      <c r="S109" s="779">
        <v>0</v>
      </c>
      <c r="T109" s="779">
        <v>0</v>
      </c>
      <c r="U109" s="779">
        <v>0</v>
      </c>
      <c r="V109" s="779">
        <v>0</v>
      </c>
    </row>
    <row r="110" spans="2:22" outlineLevel="1">
      <c r="B110" s="701" t="str">
        <f>'R6a - Net Debt input'!B75</f>
        <v>B2.10</v>
      </c>
      <c r="C110" s="702" t="str">
        <f>IF('R6a - Net Debt input'!D75 = "","",'R6a - Net Debt input'!D75)</f>
        <v/>
      </c>
      <c r="D110" s="702" t="str">
        <f>IF('R6a - Net Debt input'!E75 = "","",'R6a - Net Debt input'!E75)</f>
        <v/>
      </c>
      <c r="E110" s="715" t="str">
        <f>IF('R6a - Net Debt input'!F75 = "","",'R6a - Net Debt input'!F75)</f>
        <v/>
      </c>
      <c r="F110" s="716" t="str">
        <f>IF('R6a - Net Debt input'!G75 = "","",'R6a - Net Debt input'!G75)</f>
        <v/>
      </c>
      <c r="G110" s="717" t="str">
        <f>IF('R6a - Net Debt input'!H75 = "","",'R6a - Net Debt input'!H75)</f>
        <v/>
      </c>
      <c r="H110" s="716" t="str">
        <f>IF('R6a - Net Debt input'!I75 = "","",'R6a - Net Debt input'!I75)</f>
        <v/>
      </c>
      <c r="I110" s="706" t="str">
        <f>IF('R6a - Net Debt input'!J75 = "","",'R6a - Net Debt input'!J75)</f>
        <v/>
      </c>
      <c r="J110" s="130"/>
      <c r="K110" s="131"/>
      <c r="L110" s="132"/>
      <c r="M110" s="779">
        <v>0</v>
      </c>
      <c r="N110" s="779">
        <v>0</v>
      </c>
      <c r="O110" s="779">
        <v>0</v>
      </c>
      <c r="P110" s="779">
        <v>0</v>
      </c>
      <c r="Q110" s="779">
        <v>0</v>
      </c>
      <c r="R110" s="779">
        <v>0</v>
      </c>
      <c r="S110" s="779">
        <v>0</v>
      </c>
      <c r="T110" s="779">
        <v>0</v>
      </c>
      <c r="U110" s="779">
        <v>0</v>
      </c>
      <c r="V110" s="779">
        <v>0</v>
      </c>
    </row>
    <row r="111" spans="2:22" outlineLevel="1">
      <c r="B111" s="701" t="str">
        <f>'R6a - Net Debt input'!B76</f>
        <v>B2.11</v>
      </c>
      <c r="C111" s="702" t="str">
        <f>IF('R6a - Net Debt input'!D76 = "","",'R6a - Net Debt input'!D76)</f>
        <v/>
      </c>
      <c r="D111" s="702" t="str">
        <f>IF('R6a - Net Debt input'!E76 = "","",'R6a - Net Debt input'!E76)</f>
        <v/>
      </c>
      <c r="E111" s="715" t="str">
        <f>IF('R6a - Net Debt input'!F76 = "","",'R6a - Net Debt input'!F76)</f>
        <v/>
      </c>
      <c r="F111" s="716" t="str">
        <f>IF('R6a - Net Debt input'!G76 = "","",'R6a - Net Debt input'!G76)</f>
        <v/>
      </c>
      <c r="G111" s="717" t="str">
        <f>IF('R6a - Net Debt input'!H76 = "","",'R6a - Net Debt input'!H76)</f>
        <v/>
      </c>
      <c r="H111" s="716" t="str">
        <f>IF('R6a - Net Debt input'!I76 = "","",'R6a - Net Debt input'!I76)</f>
        <v/>
      </c>
      <c r="I111" s="706" t="str">
        <f>IF('R6a - Net Debt input'!J76 = "","",'R6a - Net Debt input'!J76)</f>
        <v/>
      </c>
      <c r="J111" s="130"/>
      <c r="K111" s="131"/>
      <c r="L111" s="132"/>
      <c r="M111" s="779">
        <v>0</v>
      </c>
      <c r="N111" s="779">
        <v>0</v>
      </c>
      <c r="O111" s="779">
        <v>0</v>
      </c>
      <c r="P111" s="779">
        <v>0</v>
      </c>
      <c r="Q111" s="779">
        <v>0</v>
      </c>
      <c r="R111" s="779">
        <v>0</v>
      </c>
      <c r="S111" s="779">
        <v>0</v>
      </c>
      <c r="T111" s="779">
        <v>0</v>
      </c>
      <c r="U111" s="779">
        <v>0</v>
      </c>
      <c r="V111" s="779">
        <v>0</v>
      </c>
    </row>
    <row r="112" spans="2:22" outlineLevel="1">
      <c r="B112" s="701" t="str">
        <f>'R6a - Net Debt input'!B77</f>
        <v>B2.12</v>
      </c>
      <c r="C112" s="702" t="str">
        <f>IF('R6a - Net Debt input'!D77 = "","",'R6a - Net Debt input'!D77)</f>
        <v/>
      </c>
      <c r="D112" s="702" t="str">
        <f>IF('R6a - Net Debt input'!E77 = "","",'R6a - Net Debt input'!E77)</f>
        <v/>
      </c>
      <c r="E112" s="715" t="str">
        <f>IF('R6a - Net Debt input'!F77 = "","",'R6a - Net Debt input'!F77)</f>
        <v/>
      </c>
      <c r="F112" s="716" t="str">
        <f>IF('R6a - Net Debt input'!G77 = "","",'R6a - Net Debt input'!G77)</f>
        <v/>
      </c>
      <c r="G112" s="717" t="str">
        <f>IF('R6a - Net Debt input'!H77 = "","",'R6a - Net Debt input'!H77)</f>
        <v/>
      </c>
      <c r="H112" s="716" t="str">
        <f>IF('R6a - Net Debt input'!I77 = "","",'R6a - Net Debt input'!I77)</f>
        <v/>
      </c>
      <c r="I112" s="706" t="str">
        <f>IF('R6a - Net Debt input'!J77 = "","",'R6a - Net Debt input'!J77)</f>
        <v/>
      </c>
      <c r="J112" s="130"/>
      <c r="K112" s="131"/>
      <c r="L112" s="132"/>
      <c r="M112" s="779">
        <v>0</v>
      </c>
      <c r="N112" s="779">
        <v>0</v>
      </c>
      <c r="O112" s="779">
        <v>0</v>
      </c>
      <c r="P112" s="779">
        <v>0</v>
      </c>
      <c r="Q112" s="779">
        <v>0</v>
      </c>
      <c r="R112" s="779">
        <v>0</v>
      </c>
      <c r="S112" s="779">
        <v>0</v>
      </c>
      <c r="T112" s="779">
        <v>0</v>
      </c>
      <c r="U112" s="779">
        <v>0</v>
      </c>
      <c r="V112" s="779">
        <v>0</v>
      </c>
    </row>
    <row r="113" spans="2:22" outlineLevel="1">
      <c r="B113" s="701" t="str">
        <f>'R6a - Net Debt input'!B78</f>
        <v>B2.13</v>
      </c>
      <c r="C113" s="702" t="str">
        <f>IF('R6a - Net Debt input'!D78 = "","",'R6a - Net Debt input'!D78)</f>
        <v/>
      </c>
      <c r="D113" s="702" t="str">
        <f>IF('R6a - Net Debt input'!E78 = "","",'R6a - Net Debt input'!E78)</f>
        <v/>
      </c>
      <c r="E113" s="715" t="str">
        <f>IF('R6a - Net Debt input'!F78 = "","",'R6a - Net Debt input'!F78)</f>
        <v/>
      </c>
      <c r="F113" s="716" t="str">
        <f>IF('R6a - Net Debt input'!G78 = "","",'R6a - Net Debt input'!G78)</f>
        <v/>
      </c>
      <c r="G113" s="717" t="str">
        <f>IF('R6a - Net Debt input'!H78 = "","",'R6a - Net Debt input'!H78)</f>
        <v/>
      </c>
      <c r="H113" s="716" t="str">
        <f>IF('R6a - Net Debt input'!I78 = "","",'R6a - Net Debt input'!I78)</f>
        <v/>
      </c>
      <c r="I113" s="706" t="str">
        <f>IF('R6a - Net Debt input'!J78 = "","",'R6a - Net Debt input'!J78)</f>
        <v/>
      </c>
      <c r="J113" s="130"/>
      <c r="K113" s="131"/>
      <c r="L113" s="132"/>
      <c r="M113" s="779">
        <v>0</v>
      </c>
      <c r="N113" s="779">
        <v>0</v>
      </c>
      <c r="O113" s="779">
        <v>0</v>
      </c>
      <c r="P113" s="779">
        <v>0</v>
      </c>
      <c r="Q113" s="779">
        <v>0</v>
      </c>
      <c r="R113" s="779">
        <v>0</v>
      </c>
      <c r="S113" s="779">
        <v>0</v>
      </c>
      <c r="T113" s="779">
        <v>0</v>
      </c>
      <c r="U113" s="779">
        <v>0</v>
      </c>
      <c r="V113" s="779">
        <v>0</v>
      </c>
    </row>
    <row r="114" spans="2:22" outlineLevel="1">
      <c r="B114" s="701" t="str">
        <f>'R6a - Net Debt input'!B79</f>
        <v>B2.14</v>
      </c>
      <c r="C114" s="702" t="str">
        <f>IF('R6a - Net Debt input'!D79 = "","",'R6a - Net Debt input'!D79)</f>
        <v/>
      </c>
      <c r="D114" s="702" t="str">
        <f>IF('R6a - Net Debt input'!E79 = "","",'R6a - Net Debt input'!E79)</f>
        <v/>
      </c>
      <c r="E114" s="715" t="str">
        <f>IF('R6a - Net Debt input'!F79 = "","",'R6a - Net Debt input'!F79)</f>
        <v/>
      </c>
      <c r="F114" s="716" t="str">
        <f>IF('R6a - Net Debt input'!G79 = "","",'R6a - Net Debt input'!G79)</f>
        <v/>
      </c>
      <c r="G114" s="717" t="str">
        <f>IF('R6a - Net Debt input'!H79 = "","",'R6a - Net Debt input'!H79)</f>
        <v/>
      </c>
      <c r="H114" s="716" t="str">
        <f>IF('R6a - Net Debt input'!I79 = "","",'R6a - Net Debt input'!I79)</f>
        <v/>
      </c>
      <c r="I114" s="706" t="str">
        <f>IF('R6a - Net Debt input'!J79 = "","",'R6a - Net Debt input'!J79)</f>
        <v/>
      </c>
      <c r="J114" s="130"/>
      <c r="K114" s="131"/>
      <c r="L114" s="132"/>
      <c r="M114" s="779">
        <v>0</v>
      </c>
      <c r="N114" s="779">
        <v>0</v>
      </c>
      <c r="O114" s="779">
        <v>0</v>
      </c>
      <c r="P114" s="779">
        <v>0</v>
      </c>
      <c r="Q114" s="779">
        <v>0</v>
      </c>
      <c r="R114" s="779">
        <v>0</v>
      </c>
      <c r="S114" s="779">
        <v>0</v>
      </c>
      <c r="T114" s="779">
        <v>0</v>
      </c>
      <c r="U114" s="779">
        <v>0</v>
      </c>
      <c r="V114" s="779">
        <v>0</v>
      </c>
    </row>
    <row r="115" spans="2:22" outlineLevel="1">
      <c r="B115" s="701" t="str">
        <f>'R6a - Net Debt input'!B80</f>
        <v>B2.15</v>
      </c>
      <c r="C115" s="702" t="str">
        <f>IF('R6a - Net Debt input'!D80 = "","",'R6a - Net Debt input'!D80)</f>
        <v/>
      </c>
      <c r="D115" s="702" t="str">
        <f>IF('R6a - Net Debt input'!E80 = "","",'R6a - Net Debt input'!E80)</f>
        <v/>
      </c>
      <c r="E115" s="715" t="str">
        <f>IF('R6a - Net Debt input'!F80 = "","",'R6a - Net Debt input'!F80)</f>
        <v/>
      </c>
      <c r="F115" s="716" t="str">
        <f>IF('R6a - Net Debt input'!G80 = "","",'R6a - Net Debt input'!G80)</f>
        <v/>
      </c>
      <c r="G115" s="717" t="str">
        <f>IF('R6a - Net Debt input'!H80 = "","",'R6a - Net Debt input'!H80)</f>
        <v/>
      </c>
      <c r="H115" s="716" t="str">
        <f>IF('R6a - Net Debt input'!I80 = "","",'R6a - Net Debt input'!I80)</f>
        <v/>
      </c>
      <c r="I115" s="706" t="str">
        <f>IF('R6a - Net Debt input'!J80 = "","",'R6a - Net Debt input'!J80)</f>
        <v/>
      </c>
      <c r="J115" s="130"/>
      <c r="K115" s="131"/>
      <c r="L115" s="132"/>
      <c r="M115" s="779">
        <v>0</v>
      </c>
      <c r="N115" s="779">
        <v>0</v>
      </c>
      <c r="O115" s="779">
        <v>0</v>
      </c>
      <c r="P115" s="779">
        <v>0</v>
      </c>
      <c r="Q115" s="779">
        <v>0</v>
      </c>
      <c r="R115" s="779">
        <v>0</v>
      </c>
      <c r="S115" s="779">
        <v>0</v>
      </c>
      <c r="T115" s="779">
        <v>0</v>
      </c>
      <c r="U115" s="779">
        <v>0</v>
      </c>
      <c r="V115" s="779">
        <v>0</v>
      </c>
    </row>
    <row r="116" spans="2:22" outlineLevel="1">
      <c r="C116" s="98"/>
      <c r="D116" s="98"/>
      <c r="E116" s="98"/>
      <c r="F116" s="98"/>
      <c r="L116" s="536" t="s">
        <v>309</v>
      </c>
      <c r="M116" s="780">
        <f t="shared" ref="M116:V116" si="37">SUM(M101:M115)</f>
        <v>33.400000000000006</v>
      </c>
      <c r="N116" s="780">
        <f t="shared" si="37"/>
        <v>2.71841708</v>
      </c>
      <c r="O116" s="780">
        <f t="shared" si="37"/>
        <v>0.2</v>
      </c>
      <c r="P116" s="780">
        <f t="shared" si="37"/>
        <v>0.2</v>
      </c>
      <c r="Q116" s="780">
        <f t="shared" si="37"/>
        <v>0.2</v>
      </c>
      <c r="R116" s="780">
        <f t="shared" si="37"/>
        <v>0.2</v>
      </c>
      <c r="S116" s="780">
        <f t="shared" si="37"/>
        <v>0.2</v>
      </c>
      <c r="T116" s="780">
        <f t="shared" si="37"/>
        <v>0.2</v>
      </c>
      <c r="U116" s="780">
        <f t="shared" si="37"/>
        <v>0.2</v>
      </c>
      <c r="V116" s="780">
        <f t="shared" si="37"/>
        <v>0.2</v>
      </c>
    </row>
    <row r="117" spans="2:22" outlineLevel="1">
      <c r="C117" s="98"/>
      <c r="D117" s="103"/>
      <c r="E117" s="103"/>
      <c r="F117" s="103"/>
      <c r="L117" s="192"/>
      <c r="M117" s="103"/>
      <c r="N117" s="103"/>
      <c r="O117" s="103"/>
      <c r="P117" s="103"/>
      <c r="Q117" s="103"/>
      <c r="R117" s="103"/>
      <c r="S117" s="103"/>
      <c r="T117" s="103"/>
      <c r="U117" s="181"/>
      <c r="V117" s="103"/>
    </row>
    <row r="118" spans="2:22" ht="17.5" outlineLevel="1">
      <c r="D118" s="166" t="s">
        <v>403</v>
      </c>
      <c r="E118" s="167"/>
      <c r="F118" s="167"/>
      <c r="G118" s="167"/>
      <c r="H118" s="167"/>
      <c r="I118" s="167"/>
      <c r="J118" s="167"/>
      <c r="K118" s="167"/>
      <c r="L118" s="193"/>
      <c r="M118" s="167"/>
      <c r="N118" s="167"/>
      <c r="O118" s="167"/>
      <c r="P118" s="167"/>
      <c r="Q118" s="167"/>
      <c r="R118" s="167"/>
      <c r="S118" s="167"/>
      <c r="T118" s="167"/>
      <c r="U118" s="180"/>
      <c r="V118" s="167"/>
    </row>
    <row r="119" spans="2:22" ht="17.5" outlineLevel="1">
      <c r="D119" s="102"/>
      <c r="L119" s="114"/>
      <c r="U119" s="179"/>
    </row>
    <row r="120" spans="2:22" ht="40.5" outlineLevel="1">
      <c r="B120" s="697" t="s">
        <v>397</v>
      </c>
      <c r="C120" s="700" t="str">
        <f t="shared" ref="C120:I122" si="38">C99</f>
        <v>Issue date</v>
      </c>
      <c r="D120" s="700" t="str">
        <f t="shared" si="38"/>
        <v>Maturity date</v>
      </c>
      <c r="E120" s="700" t="str">
        <f t="shared" si="38"/>
        <v>Description</v>
      </c>
      <c r="F120" s="700" t="str">
        <f t="shared" si="38"/>
        <v>Loan type</v>
      </c>
      <c r="G120" s="700" t="str">
        <f t="shared" si="38"/>
        <v>Payment rank</v>
      </c>
      <c r="H120" s="714" t="str">
        <f t="shared" si="38"/>
        <v>Reference rate</v>
      </c>
      <c r="I120" s="714" t="str">
        <f t="shared" si="38"/>
        <v>Interest rate / margin spread on reference rate</v>
      </c>
      <c r="L120" s="114"/>
      <c r="U120" s="179"/>
    </row>
    <row r="121" spans="2:22" outlineLevel="1">
      <c r="B121" s="537"/>
      <c r="C121" s="700" t="str">
        <f t="shared" si="38"/>
        <v>dd/mm/yyyy</v>
      </c>
      <c r="D121" s="700" t="str">
        <f t="shared" si="38"/>
        <v>dd/mm/yyyy</v>
      </c>
      <c r="E121" s="700" t="str">
        <f t="shared" si="38"/>
        <v/>
      </c>
      <c r="F121" s="700" t="str">
        <f t="shared" si="38"/>
        <v/>
      </c>
      <c r="G121" s="700" t="str">
        <f t="shared" si="38"/>
        <v/>
      </c>
      <c r="H121" s="700" t="str">
        <f t="shared" si="38"/>
        <v/>
      </c>
      <c r="I121" s="700" t="str">
        <f t="shared" si="38"/>
        <v xml:space="preserve">% </v>
      </c>
      <c r="L121" s="114"/>
      <c r="M121" s="707" t="s">
        <v>398</v>
      </c>
      <c r="N121" s="707" t="s">
        <v>398</v>
      </c>
      <c r="O121" s="707" t="s">
        <v>398</v>
      </c>
      <c r="P121" s="707" t="s">
        <v>398</v>
      </c>
      <c r="Q121" s="707" t="s">
        <v>398</v>
      </c>
      <c r="R121" s="707" t="s">
        <v>398</v>
      </c>
      <c r="S121" s="707" t="s">
        <v>398</v>
      </c>
      <c r="T121" s="707" t="s">
        <v>398</v>
      </c>
      <c r="U121" s="707" t="s">
        <v>398</v>
      </c>
      <c r="V121" s="707" t="s">
        <v>398</v>
      </c>
    </row>
    <row r="122" spans="2:22" outlineLevel="1">
      <c r="B122" s="701" t="s">
        <v>406</v>
      </c>
      <c r="C122" s="709">
        <f t="shared" si="38"/>
        <v>39163</v>
      </c>
      <c r="D122" s="709">
        <f t="shared" ref="D122:I122" si="39">D101</f>
        <v>44642</v>
      </c>
      <c r="E122" s="718" t="str">
        <f t="shared" si="39"/>
        <v>15 YR FLOATING RATE DEBT: PAY 12M/1Y RPI 1.8800% REAL RATE GBP 180.0 M MAT: 22-MAR-2022</v>
      </c>
      <c r="F122" s="719" t="str">
        <f t="shared" si="39"/>
        <v>Inflation-linked</v>
      </c>
      <c r="G122" s="720" t="str">
        <f t="shared" si="39"/>
        <v>Senior</v>
      </c>
      <c r="H122" s="719" t="str">
        <f t="shared" si="39"/>
        <v>RPI 12 month</v>
      </c>
      <c r="I122" s="713">
        <f t="shared" si="39"/>
        <v>1.8800000000000001E-2</v>
      </c>
      <c r="J122" s="130"/>
      <c r="K122" s="131"/>
      <c r="L122" s="132"/>
      <c r="M122" s="779">
        <v>5.0999999999999996</v>
      </c>
      <c r="N122" s="779">
        <v>0</v>
      </c>
      <c r="O122" s="779">
        <v>0</v>
      </c>
      <c r="P122" s="779">
        <v>0</v>
      </c>
      <c r="Q122" s="779">
        <v>0</v>
      </c>
      <c r="R122" s="779">
        <v>0</v>
      </c>
      <c r="S122" s="779">
        <v>0</v>
      </c>
      <c r="T122" s="779">
        <v>0</v>
      </c>
      <c r="U122" s="779">
        <v>0</v>
      </c>
      <c r="V122" s="779">
        <v>0</v>
      </c>
    </row>
    <row r="123" spans="2:22" outlineLevel="1">
      <c r="B123" s="701" t="s">
        <v>407</v>
      </c>
      <c r="C123" s="709">
        <f t="shared" ref="C123:I123" si="40">C102</f>
        <v>39205</v>
      </c>
      <c r="D123" s="709">
        <f t="shared" si="40"/>
        <v>44684</v>
      </c>
      <c r="E123" s="718" t="str">
        <f t="shared" si="40"/>
        <v>15 YR FLOATING RATE DEBT: PAY 12M/1Y RPI 2.1400% REAL RATE GBP 190.0 M MAT: 03-MAY-2022</v>
      </c>
      <c r="F123" s="719" t="str">
        <f t="shared" si="40"/>
        <v>Inflation-linked</v>
      </c>
      <c r="G123" s="720" t="str">
        <f t="shared" si="40"/>
        <v>Senior</v>
      </c>
      <c r="H123" s="719" t="str">
        <f t="shared" si="40"/>
        <v>RPI 12 month</v>
      </c>
      <c r="I123" s="713">
        <f t="shared" si="40"/>
        <v>2.1399999999999999E-2</v>
      </c>
      <c r="J123" s="130"/>
      <c r="K123" s="131"/>
      <c r="L123" s="132"/>
      <c r="M123" s="779">
        <v>6</v>
      </c>
      <c r="N123" s="779">
        <v>0.54098360655737709</v>
      </c>
      <c r="O123" s="779">
        <v>0</v>
      </c>
      <c r="P123" s="779">
        <v>0</v>
      </c>
      <c r="Q123" s="779">
        <v>0</v>
      </c>
      <c r="R123" s="779">
        <v>0</v>
      </c>
      <c r="S123" s="779">
        <v>0</v>
      </c>
      <c r="T123" s="779">
        <v>0</v>
      </c>
      <c r="U123" s="779">
        <v>0</v>
      </c>
      <c r="V123" s="779">
        <v>0</v>
      </c>
    </row>
    <row r="124" spans="2:22" outlineLevel="1">
      <c r="B124" s="701" t="s">
        <v>408</v>
      </c>
      <c r="C124" s="709" t="str">
        <f t="shared" ref="C124:I124" si="41">C103</f>
        <v/>
      </c>
      <c r="D124" s="709" t="str">
        <f t="shared" si="41"/>
        <v/>
      </c>
      <c r="E124" s="718" t="str">
        <f t="shared" si="41"/>
        <v/>
      </c>
      <c r="F124" s="719" t="str">
        <f t="shared" si="41"/>
        <v/>
      </c>
      <c r="G124" s="720" t="str">
        <f t="shared" si="41"/>
        <v/>
      </c>
      <c r="H124" s="719" t="str">
        <f t="shared" si="41"/>
        <v/>
      </c>
      <c r="I124" s="713" t="str">
        <f t="shared" si="41"/>
        <v/>
      </c>
      <c r="J124" s="130"/>
      <c r="K124" s="131"/>
      <c r="L124" s="132"/>
      <c r="M124" s="779">
        <v>0</v>
      </c>
      <c r="N124" s="779">
        <v>0</v>
      </c>
      <c r="O124" s="779">
        <v>0</v>
      </c>
      <c r="P124" s="779">
        <v>0</v>
      </c>
      <c r="Q124" s="779">
        <v>0</v>
      </c>
      <c r="R124" s="779">
        <v>0</v>
      </c>
      <c r="S124" s="779">
        <v>0</v>
      </c>
      <c r="T124" s="779">
        <v>0</v>
      </c>
      <c r="U124" s="779">
        <v>0</v>
      </c>
      <c r="V124" s="779">
        <v>0</v>
      </c>
    </row>
    <row r="125" spans="2:22" outlineLevel="1">
      <c r="B125" s="701" t="s">
        <v>409</v>
      </c>
      <c r="C125" s="709" t="str">
        <f t="shared" ref="C125:I125" si="42">C104</f>
        <v>IFRS 16 Right of Use Lease Liability</v>
      </c>
      <c r="D125" s="709" t="str">
        <f t="shared" si="42"/>
        <v>IFRS 16 Right of Use Lease Liability</v>
      </c>
      <c r="E125" s="718" t="str">
        <f t="shared" si="42"/>
        <v>IFRS 16 Right of Use Lease Liability</v>
      </c>
      <c r="F125" s="719" t="str">
        <f t="shared" si="42"/>
        <v/>
      </c>
      <c r="G125" s="720" t="str">
        <f t="shared" si="42"/>
        <v/>
      </c>
      <c r="H125" s="719" t="str">
        <f t="shared" si="42"/>
        <v/>
      </c>
      <c r="I125" s="713" t="str">
        <f t="shared" si="42"/>
        <v/>
      </c>
      <c r="J125" s="130"/>
      <c r="K125" s="131"/>
      <c r="L125" s="132"/>
      <c r="M125" s="779">
        <v>0</v>
      </c>
      <c r="N125" s="779">
        <v>0</v>
      </c>
      <c r="O125" s="779">
        <v>0</v>
      </c>
      <c r="P125" s="779">
        <v>0</v>
      </c>
      <c r="Q125" s="779">
        <v>0</v>
      </c>
      <c r="R125" s="779">
        <v>0</v>
      </c>
      <c r="S125" s="779">
        <v>0</v>
      </c>
      <c r="T125" s="779">
        <v>0</v>
      </c>
      <c r="U125" s="779">
        <v>0</v>
      </c>
      <c r="V125" s="779">
        <v>0</v>
      </c>
    </row>
    <row r="126" spans="2:22" outlineLevel="1">
      <c r="B126" s="701" t="s">
        <v>410</v>
      </c>
      <c r="C126" s="709" t="str">
        <f t="shared" ref="C126:I126" si="43">C105</f>
        <v/>
      </c>
      <c r="D126" s="709" t="str">
        <f t="shared" si="43"/>
        <v/>
      </c>
      <c r="E126" s="718" t="str">
        <f t="shared" si="43"/>
        <v/>
      </c>
      <c r="F126" s="719" t="str">
        <f t="shared" si="43"/>
        <v/>
      </c>
      <c r="G126" s="720" t="str">
        <f t="shared" si="43"/>
        <v/>
      </c>
      <c r="H126" s="719" t="str">
        <f t="shared" si="43"/>
        <v/>
      </c>
      <c r="I126" s="713" t="str">
        <f t="shared" si="43"/>
        <v/>
      </c>
      <c r="J126" s="130"/>
      <c r="K126" s="131"/>
      <c r="L126" s="132"/>
      <c r="M126" s="779">
        <v>0</v>
      </c>
      <c r="N126" s="779">
        <v>0</v>
      </c>
      <c r="O126" s="779">
        <v>0</v>
      </c>
      <c r="P126" s="779">
        <v>0</v>
      </c>
      <c r="Q126" s="779">
        <v>0</v>
      </c>
      <c r="R126" s="779">
        <v>0</v>
      </c>
      <c r="S126" s="779">
        <v>0</v>
      </c>
      <c r="T126" s="779">
        <v>0</v>
      </c>
      <c r="U126" s="779">
        <v>0</v>
      </c>
      <c r="V126" s="779">
        <v>0</v>
      </c>
    </row>
    <row r="127" spans="2:22" outlineLevel="1">
      <c r="B127" s="701" t="s">
        <v>411</v>
      </c>
      <c r="C127" s="709" t="str">
        <f t="shared" ref="C127:I127" si="44">C106</f>
        <v/>
      </c>
      <c r="D127" s="709" t="str">
        <f t="shared" si="44"/>
        <v/>
      </c>
      <c r="E127" s="718" t="str">
        <f t="shared" si="44"/>
        <v/>
      </c>
      <c r="F127" s="719" t="str">
        <f t="shared" si="44"/>
        <v/>
      </c>
      <c r="G127" s="720" t="str">
        <f t="shared" si="44"/>
        <v/>
      </c>
      <c r="H127" s="719" t="str">
        <f t="shared" si="44"/>
        <v/>
      </c>
      <c r="I127" s="713" t="str">
        <f t="shared" si="44"/>
        <v/>
      </c>
      <c r="J127" s="130"/>
      <c r="K127" s="131"/>
      <c r="L127" s="132"/>
      <c r="M127" s="779">
        <v>0</v>
      </c>
      <c r="N127" s="779">
        <v>0</v>
      </c>
      <c r="O127" s="779">
        <v>0</v>
      </c>
      <c r="P127" s="779">
        <v>0</v>
      </c>
      <c r="Q127" s="779">
        <v>0</v>
      </c>
      <c r="R127" s="779">
        <v>0</v>
      </c>
      <c r="S127" s="779">
        <v>0</v>
      </c>
      <c r="T127" s="779">
        <v>0</v>
      </c>
      <c r="U127" s="779">
        <v>0</v>
      </c>
      <c r="V127" s="779">
        <v>0</v>
      </c>
    </row>
    <row r="128" spans="2:22" outlineLevel="1">
      <c r="B128" s="701" t="s">
        <v>412</v>
      </c>
      <c r="C128" s="709" t="str">
        <f t="shared" ref="C128:I128" si="45">C107</f>
        <v/>
      </c>
      <c r="D128" s="709" t="str">
        <f t="shared" si="45"/>
        <v/>
      </c>
      <c r="E128" s="718" t="str">
        <f t="shared" si="45"/>
        <v/>
      </c>
      <c r="F128" s="719" t="str">
        <f t="shared" si="45"/>
        <v/>
      </c>
      <c r="G128" s="720" t="str">
        <f t="shared" si="45"/>
        <v/>
      </c>
      <c r="H128" s="719" t="str">
        <f t="shared" si="45"/>
        <v/>
      </c>
      <c r="I128" s="713" t="str">
        <f t="shared" si="45"/>
        <v/>
      </c>
      <c r="J128" s="130"/>
      <c r="K128" s="131"/>
      <c r="L128" s="132"/>
      <c r="M128" s="779">
        <v>0</v>
      </c>
      <c r="N128" s="779">
        <v>0</v>
      </c>
      <c r="O128" s="779">
        <v>0</v>
      </c>
      <c r="P128" s="779">
        <v>0</v>
      </c>
      <c r="Q128" s="779">
        <v>0</v>
      </c>
      <c r="R128" s="779">
        <v>0</v>
      </c>
      <c r="S128" s="779">
        <v>0</v>
      </c>
      <c r="T128" s="779">
        <v>0</v>
      </c>
      <c r="U128" s="779">
        <v>0</v>
      </c>
      <c r="V128" s="779">
        <v>0</v>
      </c>
    </row>
    <row r="129" spans="2:29" outlineLevel="1">
      <c r="B129" s="701" t="s">
        <v>413</v>
      </c>
      <c r="C129" s="709" t="str">
        <f t="shared" ref="C129:I129" si="46">C108</f>
        <v/>
      </c>
      <c r="D129" s="709" t="str">
        <f t="shared" si="46"/>
        <v/>
      </c>
      <c r="E129" s="718" t="str">
        <f t="shared" si="46"/>
        <v/>
      </c>
      <c r="F129" s="719" t="str">
        <f t="shared" si="46"/>
        <v/>
      </c>
      <c r="G129" s="720" t="str">
        <f t="shared" si="46"/>
        <v/>
      </c>
      <c r="H129" s="719" t="str">
        <f t="shared" si="46"/>
        <v/>
      </c>
      <c r="I129" s="713" t="str">
        <f t="shared" si="46"/>
        <v/>
      </c>
      <c r="J129" s="130"/>
      <c r="K129" s="131"/>
      <c r="L129" s="132"/>
      <c r="M129" s="779">
        <v>0</v>
      </c>
      <c r="N129" s="779">
        <v>0</v>
      </c>
      <c r="O129" s="779">
        <v>0</v>
      </c>
      <c r="P129" s="779">
        <v>0</v>
      </c>
      <c r="Q129" s="779">
        <v>0</v>
      </c>
      <c r="R129" s="779">
        <v>0</v>
      </c>
      <c r="S129" s="779">
        <v>0</v>
      </c>
      <c r="T129" s="779">
        <v>0</v>
      </c>
      <c r="U129" s="779">
        <v>0</v>
      </c>
      <c r="V129" s="779">
        <v>0</v>
      </c>
    </row>
    <row r="130" spans="2:29" outlineLevel="1">
      <c r="B130" s="701" t="s">
        <v>414</v>
      </c>
      <c r="C130" s="709" t="str">
        <f t="shared" ref="C130:I130" si="47">C109</f>
        <v/>
      </c>
      <c r="D130" s="709" t="str">
        <f t="shared" si="47"/>
        <v/>
      </c>
      <c r="E130" s="718" t="str">
        <f t="shared" si="47"/>
        <v/>
      </c>
      <c r="F130" s="719" t="str">
        <f t="shared" si="47"/>
        <v/>
      </c>
      <c r="G130" s="720" t="str">
        <f t="shared" si="47"/>
        <v/>
      </c>
      <c r="H130" s="719" t="str">
        <f t="shared" si="47"/>
        <v/>
      </c>
      <c r="I130" s="713" t="str">
        <f t="shared" si="47"/>
        <v/>
      </c>
      <c r="J130" s="130"/>
      <c r="K130" s="131"/>
      <c r="L130" s="132"/>
      <c r="M130" s="779">
        <v>0</v>
      </c>
      <c r="N130" s="779">
        <v>0</v>
      </c>
      <c r="O130" s="779">
        <v>0</v>
      </c>
      <c r="P130" s="779">
        <v>0</v>
      </c>
      <c r="Q130" s="779">
        <v>0</v>
      </c>
      <c r="R130" s="779">
        <v>0</v>
      </c>
      <c r="S130" s="779">
        <v>0</v>
      </c>
      <c r="T130" s="779">
        <v>0</v>
      </c>
      <c r="U130" s="779">
        <v>0</v>
      </c>
      <c r="V130" s="779">
        <v>0</v>
      </c>
    </row>
    <row r="131" spans="2:29" outlineLevel="1">
      <c r="B131" s="701" t="s">
        <v>415</v>
      </c>
      <c r="C131" s="709" t="str">
        <f t="shared" ref="C131:I131" si="48">C110</f>
        <v/>
      </c>
      <c r="D131" s="709" t="str">
        <f t="shared" si="48"/>
        <v/>
      </c>
      <c r="E131" s="718" t="str">
        <f t="shared" si="48"/>
        <v/>
      </c>
      <c r="F131" s="719" t="str">
        <f t="shared" si="48"/>
        <v/>
      </c>
      <c r="G131" s="720" t="str">
        <f t="shared" si="48"/>
        <v/>
      </c>
      <c r="H131" s="719" t="str">
        <f t="shared" si="48"/>
        <v/>
      </c>
      <c r="I131" s="713" t="str">
        <f t="shared" si="48"/>
        <v/>
      </c>
      <c r="J131" s="130"/>
      <c r="K131" s="131"/>
      <c r="L131" s="132"/>
      <c r="M131" s="779">
        <v>0</v>
      </c>
      <c r="N131" s="779">
        <v>0</v>
      </c>
      <c r="O131" s="779">
        <v>0</v>
      </c>
      <c r="P131" s="779">
        <v>0</v>
      </c>
      <c r="Q131" s="779">
        <v>0</v>
      </c>
      <c r="R131" s="779">
        <v>0</v>
      </c>
      <c r="S131" s="779">
        <v>0</v>
      </c>
      <c r="T131" s="779">
        <v>0</v>
      </c>
      <c r="U131" s="779">
        <v>0</v>
      </c>
      <c r="V131" s="779">
        <v>0</v>
      </c>
    </row>
    <row r="132" spans="2:29" outlineLevel="1">
      <c r="B132" s="701" t="s">
        <v>416</v>
      </c>
      <c r="C132" s="709" t="str">
        <f t="shared" ref="C132:I132" si="49">C111</f>
        <v/>
      </c>
      <c r="D132" s="709" t="str">
        <f t="shared" si="49"/>
        <v/>
      </c>
      <c r="E132" s="718" t="str">
        <f t="shared" si="49"/>
        <v/>
      </c>
      <c r="F132" s="719" t="str">
        <f t="shared" si="49"/>
        <v/>
      </c>
      <c r="G132" s="720" t="str">
        <f t="shared" si="49"/>
        <v/>
      </c>
      <c r="H132" s="719" t="str">
        <f t="shared" si="49"/>
        <v/>
      </c>
      <c r="I132" s="713" t="str">
        <f t="shared" si="49"/>
        <v/>
      </c>
      <c r="J132" s="130"/>
      <c r="K132" s="131"/>
      <c r="L132" s="132"/>
      <c r="M132" s="779">
        <v>0</v>
      </c>
      <c r="N132" s="779">
        <v>0</v>
      </c>
      <c r="O132" s="779">
        <v>0</v>
      </c>
      <c r="P132" s="779">
        <v>0</v>
      </c>
      <c r="Q132" s="779">
        <v>0</v>
      </c>
      <c r="R132" s="779">
        <v>0</v>
      </c>
      <c r="S132" s="779">
        <v>0</v>
      </c>
      <c r="T132" s="779">
        <v>0</v>
      </c>
      <c r="U132" s="779">
        <v>0</v>
      </c>
      <c r="V132" s="779">
        <v>0</v>
      </c>
    </row>
    <row r="133" spans="2:29" outlineLevel="1">
      <c r="B133" s="701" t="s">
        <v>417</v>
      </c>
      <c r="C133" s="709" t="str">
        <f t="shared" ref="C133:I133" si="50">C112</f>
        <v/>
      </c>
      <c r="D133" s="709" t="str">
        <f t="shared" si="50"/>
        <v/>
      </c>
      <c r="E133" s="718" t="str">
        <f t="shared" si="50"/>
        <v/>
      </c>
      <c r="F133" s="719" t="str">
        <f t="shared" si="50"/>
        <v/>
      </c>
      <c r="G133" s="720" t="str">
        <f t="shared" si="50"/>
        <v/>
      </c>
      <c r="H133" s="719" t="str">
        <f t="shared" si="50"/>
        <v/>
      </c>
      <c r="I133" s="713" t="str">
        <f t="shared" si="50"/>
        <v/>
      </c>
      <c r="J133" s="130"/>
      <c r="K133" s="131"/>
      <c r="L133" s="132"/>
      <c r="M133" s="779">
        <v>0</v>
      </c>
      <c r="N133" s="779">
        <v>0</v>
      </c>
      <c r="O133" s="779">
        <v>0</v>
      </c>
      <c r="P133" s="779">
        <v>0</v>
      </c>
      <c r="Q133" s="779">
        <v>0</v>
      </c>
      <c r="R133" s="779">
        <v>0</v>
      </c>
      <c r="S133" s="779">
        <v>0</v>
      </c>
      <c r="T133" s="779">
        <v>0</v>
      </c>
      <c r="U133" s="779">
        <v>0</v>
      </c>
      <c r="V133" s="779">
        <v>0</v>
      </c>
    </row>
    <row r="134" spans="2:29" outlineLevel="1">
      <c r="B134" s="701" t="s">
        <v>418</v>
      </c>
      <c r="C134" s="709" t="str">
        <f t="shared" ref="C134:I134" si="51">C113</f>
        <v/>
      </c>
      <c r="D134" s="709" t="str">
        <f t="shared" si="51"/>
        <v/>
      </c>
      <c r="E134" s="718" t="str">
        <f t="shared" si="51"/>
        <v/>
      </c>
      <c r="F134" s="719" t="str">
        <f t="shared" si="51"/>
        <v/>
      </c>
      <c r="G134" s="720" t="str">
        <f t="shared" si="51"/>
        <v/>
      </c>
      <c r="H134" s="719" t="str">
        <f t="shared" si="51"/>
        <v/>
      </c>
      <c r="I134" s="713" t="str">
        <f t="shared" si="51"/>
        <v/>
      </c>
      <c r="J134" s="130"/>
      <c r="K134" s="131"/>
      <c r="L134" s="132"/>
      <c r="M134" s="779">
        <v>0</v>
      </c>
      <c r="N134" s="779">
        <v>0</v>
      </c>
      <c r="O134" s="779">
        <v>0</v>
      </c>
      <c r="P134" s="779">
        <v>0</v>
      </c>
      <c r="Q134" s="779">
        <v>0</v>
      </c>
      <c r="R134" s="779">
        <v>0</v>
      </c>
      <c r="S134" s="779">
        <v>0</v>
      </c>
      <c r="T134" s="779">
        <v>0</v>
      </c>
      <c r="U134" s="779">
        <v>0</v>
      </c>
      <c r="V134" s="779">
        <v>0</v>
      </c>
    </row>
    <row r="135" spans="2:29" outlineLevel="1">
      <c r="B135" s="701" t="s">
        <v>419</v>
      </c>
      <c r="C135" s="709" t="str">
        <f t="shared" ref="C135:I135" si="52">C114</f>
        <v/>
      </c>
      <c r="D135" s="709" t="str">
        <f t="shared" si="52"/>
        <v/>
      </c>
      <c r="E135" s="718" t="str">
        <f t="shared" si="52"/>
        <v/>
      </c>
      <c r="F135" s="719" t="str">
        <f t="shared" si="52"/>
        <v/>
      </c>
      <c r="G135" s="720" t="str">
        <f t="shared" si="52"/>
        <v/>
      </c>
      <c r="H135" s="719" t="str">
        <f t="shared" si="52"/>
        <v/>
      </c>
      <c r="I135" s="713" t="str">
        <f t="shared" si="52"/>
        <v/>
      </c>
      <c r="J135" s="130"/>
      <c r="K135" s="131"/>
      <c r="L135" s="132"/>
      <c r="M135" s="779">
        <v>0</v>
      </c>
      <c r="N135" s="779">
        <v>0</v>
      </c>
      <c r="O135" s="779">
        <v>0</v>
      </c>
      <c r="P135" s="779">
        <v>0</v>
      </c>
      <c r="Q135" s="779">
        <v>0</v>
      </c>
      <c r="R135" s="779">
        <v>0</v>
      </c>
      <c r="S135" s="779">
        <v>0</v>
      </c>
      <c r="T135" s="779">
        <v>0</v>
      </c>
      <c r="U135" s="779">
        <v>0</v>
      </c>
      <c r="V135" s="779">
        <v>0</v>
      </c>
    </row>
    <row r="136" spans="2:29" outlineLevel="1">
      <c r="B136" s="701" t="s">
        <v>420</v>
      </c>
      <c r="C136" s="709" t="str">
        <f t="shared" ref="C136:I136" si="53">C115</f>
        <v/>
      </c>
      <c r="D136" s="709" t="str">
        <f t="shared" si="53"/>
        <v/>
      </c>
      <c r="E136" s="718" t="str">
        <f t="shared" si="53"/>
        <v/>
      </c>
      <c r="F136" s="719" t="str">
        <f t="shared" si="53"/>
        <v/>
      </c>
      <c r="G136" s="720" t="str">
        <f t="shared" si="53"/>
        <v/>
      </c>
      <c r="H136" s="719" t="str">
        <f t="shared" si="53"/>
        <v/>
      </c>
      <c r="I136" s="713" t="str">
        <f t="shared" si="53"/>
        <v/>
      </c>
      <c r="J136" s="130"/>
      <c r="K136" s="131"/>
      <c r="L136" s="132"/>
      <c r="M136" s="779">
        <v>0</v>
      </c>
      <c r="N136" s="779">
        <v>0</v>
      </c>
      <c r="O136" s="779">
        <v>0</v>
      </c>
      <c r="P136" s="779">
        <v>0</v>
      </c>
      <c r="Q136" s="779">
        <v>0</v>
      </c>
      <c r="R136" s="779">
        <v>0</v>
      </c>
      <c r="S136" s="779">
        <v>0</v>
      </c>
      <c r="T136" s="779">
        <v>0</v>
      </c>
      <c r="U136" s="779">
        <v>0</v>
      </c>
      <c r="V136" s="779">
        <v>0</v>
      </c>
    </row>
    <row r="137" spans="2:29" outlineLevel="1">
      <c r="C137" s="98"/>
      <c r="D137" s="98"/>
      <c r="E137" s="98"/>
      <c r="F137" s="98"/>
      <c r="L137" s="536" t="s">
        <v>309</v>
      </c>
      <c r="M137" s="780">
        <f t="shared" ref="M137:V137" si="54">SUM(M122:M136)</f>
        <v>11.1</v>
      </c>
      <c r="N137" s="780">
        <f t="shared" si="54"/>
        <v>0.54098360655737709</v>
      </c>
      <c r="O137" s="780">
        <f t="shared" si="54"/>
        <v>0</v>
      </c>
      <c r="P137" s="780">
        <f t="shared" si="54"/>
        <v>0</v>
      </c>
      <c r="Q137" s="780">
        <f t="shared" si="54"/>
        <v>0</v>
      </c>
      <c r="R137" s="780">
        <f t="shared" si="54"/>
        <v>0</v>
      </c>
      <c r="S137" s="780">
        <f t="shared" si="54"/>
        <v>0</v>
      </c>
      <c r="T137" s="780">
        <f t="shared" si="54"/>
        <v>0</v>
      </c>
      <c r="U137" s="780">
        <f t="shared" si="54"/>
        <v>0</v>
      </c>
      <c r="V137" s="780">
        <f t="shared" si="54"/>
        <v>0</v>
      </c>
    </row>
    <row r="138" spans="2:29" outlineLevel="1">
      <c r="C138" s="98"/>
      <c r="D138" s="103"/>
      <c r="E138" s="103"/>
      <c r="F138" s="103"/>
      <c r="L138" s="192"/>
      <c r="M138" s="103"/>
      <c r="N138" s="103"/>
      <c r="O138" s="103"/>
      <c r="P138" s="103"/>
      <c r="Q138" s="103"/>
      <c r="R138" s="103"/>
      <c r="S138" s="103"/>
      <c r="T138" s="103"/>
      <c r="U138" s="181"/>
      <c r="V138" s="103"/>
    </row>
    <row r="139" spans="2:29">
      <c r="C139" s="98"/>
      <c r="D139" s="98"/>
      <c r="E139" s="98"/>
      <c r="F139" s="98"/>
      <c r="L139" s="101"/>
      <c r="M139" s="98"/>
      <c r="N139" s="98"/>
      <c r="O139" s="98"/>
      <c r="P139" s="98"/>
      <c r="Q139" s="98"/>
      <c r="R139" s="98"/>
      <c r="S139" s="98"/>
      <c r="T139" s="98"/>
      <c r="U139" s="182"/>
      <c r="V139" s="98"/>
      <c r="W139" s="98"/>
      <c r="X139" s="98"/>
      <c r="Y139" s="98"/>
      <c r="Z139" s="98"/>
      <c r="AA139" s="98"/>
      <c r="AB139" s="98"/>
      <c r="AC139" s="98"/>
    </row>
    <row r="140" spans="2:29" ht="14">
      <c r="B140" s="156" t="s">
        <v>421</v>
      </c>
      <c r="C140" s="157" t="s">
        <v>422</v>
      </c>
      <c r="D140" s="157"/>
      <c r="E140" s="157"/>
      <c r="F140" s="157"/>
      <c r="G140" s="158"/>
      <c r="H140" s="158"/>
      <c r="I140" s="158"/>
      <c r="J140" s="158"/>
      <c r="K140" s="158"/>
      <c r="L140" s="156"/>
      <c r="M140" s="157"/>
      <c r="N140" s="157"/>
      <c r="O140" s="157"/>
      <c r="P140" s="157"/>
      <c r="Q140" s="157"/>
      <c r="R140" s="157"/>
      <c r="S140" s="157"/>
      <c r="T140" s="157"/>
      <c r="U140" s="183"/>
      <c r="V140" s="157"/>
      <c r="W140" s="98"/>
      <c r="X140" s="98"/>
      <c r="Y140" s="98"/>
      <c r="Z140" s="98"/>
      <c r="AA140" s="98"/>
      <c r="AB140" s="98"/>
      <c r="AC140" s="98"/>
    </row>
    <row r="141" spans="2:29" ht="14">
      <c r="B141" s="161"/>
      <c r="C141" s="162"/>
      <c r="D141" s="162"/>
      <c r="E141" s="162"/>
      <c r="F141" s="162"/>
      <c r="G141" s="163"/>
      <c r="H141" s="163"/>
      <c r="I141" s="163"/>
      <c r="J141" s="163"/>
      <c r="K141" s="163"/>
      <c r="L141" s="161"/>
      <c r="M141" s="162"/>
      <c r="N141" s="162"/>
      <c r="O141" s="162"/>
      <c r="P141" s="162"/>
      <c r="Q141" s="162"/>
      <c r="R141" s="162"/>
      <c r="S141" s="162"/>
      <c r="T141" s="162"/>
      <c r="U141" s="184"/>
      <c r="V141" s="162"/>
      <c r="W141" s="98"/>
      <c r="X141" s="98"/>
      <c r="Y141" s="98"/>
      <c r="Z141" s="98"/>
      <c r="AA141" s="98"/>
      <c r="AB141" s="98"/>
      <c r="AC141" s="98"/>
    </row>
    <row r="142" spans="2:29" ht="17.5" outlineLevel="1">
      <c r="D142" s="166" t="s">
        <v>396</v>
      </c>
      <c r="E142" s="167"/>
      <c r="F142" s="167"/>
      <c r="G142" s="167"/>
      <c r="H142" s="167"/>
      <c r="I142" s="167"/>
      <c r="J142" s="167"/>
      <c r="K142" s="167"/>
      <c r="L142" s="195"/>
      <c r="M142" s="168"/>
      <c r="N142" s="168"/>
      <c r="O142" s="168"/>
      <c r="P142" s="168"/>
      <c r="Q142" s="168"/>
      <c r="R142" s="168"/>
      <c r="S142" s="168"/>
      <c r="T142" s="168"/>
      <c r="U142" s="185"/>
      <c r="V142" s="168"/>
    </row>
    <row r="143" spans="2:29" ht="17.5" outlineLevel="1">
      <c r="C143" s="169"/>
      <c r="D143" s="102"/>
      <c r="L143" s="101"/>
      <c r="M143" s="98"/>
      <c r="N143" s="98"/>
      <c r="O143" s="98"/>
      <c r="P143" s="98"/>
      <c r="Q143" s="98"/>
      <c r="R143" s="98"/>
      <c r="S143" s="98"/>
      <c r="T143" s="98"/>
      <c r="U143" s="182"/>
      <c r="V143" s="98"/>
    </row>
    <row r="144" spans="2:29" ht="40.5" outlineLevel="1">
      <c r="B144" s="697" t="s">
        <v>397</v>
      </c>
      <c r="C144" s="700" t="str">
        <f>IF('R6a - Net Debt input'!D85 = "","",'R6a - Net Debt input'!D85)</f>
        <v>Issue date</v>
      </c>
      <c r="D144" s="700" t="str">
        <f>IF('R6a - Net Debt input'!E85 = "","",'R6a - Net Debt input'!E85)</f>
        <v>Maturity date</v>
      </c>
      <c r="E144" s="700" t="str">
        <f>IF('R6a - Net Debt input'!F85 = "","",'R6a - Net Debt input'!F85)</f>
        <v>Description</v>
      </c>
      <c r="F144" s="700" t="str">
        <f>IF('R6a - Net Debt input'!G85 = "","",'R6a - Net Debt input'!G85)</f>
        <v>Loan type</v>
      </c>
      <c r="G144" s="700" t="str">
        <f>IF('R6a - Net Debt input'!H85 = "","",'R6a - Net Debt input'!H85)</f>
        <v>Payment rank</v>
      </c>
      <c r="H144" s="714" t="str">
        <f>IF('R6a - Net Debt input'!I85 = "","",'R6a - Net Debt input'!I85)</f>
        <v>Reference rate</v>
      </c>
      <c r="I144" s="714" t="str">
        <f>IF('R6a - Net Debt input'!J85 = "","",'R6a - Net Debt input'!J85)</f>
        <v>Coupon rate / margin spread on reference rate</v>
      </c>
      <c r="L144" s="114"/>
      <c r="U144" s="179"/>
    </row>
    <row r="145" spans="2:22" outlineLevel="1">
      <c r="B145" s="537"/>
      <c r="C145" s="700" t="str">
        <f>IF('R6a - Net Debt input'!D86 = "","",'R6a - Net Debt input'!D86)</f>
        <v>dd/mm/yyyy</v>
      </c>
      <c r="D145" s="700" t="str">
        <f>IF('R6a - Net Debt input'!E86 = "","",'R6a - Net Debt input'!E86)</f>
        <v>dd/mm/yyyy</v>
      </c>
      <c r="E145" s="700" t="str">
        <f>IF('R6a - Net Debt input'!F86 = "","",'R6a - Net Debt input'!F86)</f>
        <v/>
      </c>
      <c r="F145" s="700" t="str">
        <f>IF('R6a - Net Debt input'!G86 = "","",'R6a - Net Debt input'!G86)</f>
        <v/>
      </c>
      <c r="G145" s="700" t="str">
        <f>IF('R6a - Net Debt input'!H86 = "","",'R6a - Net Debt input'!H86)</f>
        <v/>
      </c>
      <c r="H145" s="700" t="str">
        <f>IF('R6a - Net Debt input'!I86 = "","",'R6a - Net Debt input'!I86)</f>
        <v/>
      </c>
      <c r="I145" s="700" t="str">
        <f>IF('R6a - Net Debt input'!J86 = "","",'R6a - Net Debt input'!J86)</f>
        <v xml:space="preserve">% </v>
      </c>
      <c r="L145" s="114"/>
      <c r="M145" s="707" t="s">
        <v>398</v>
      </c>
      <c r="N145" s="707" t="s">
        <v>398</v>
      </c>
      <c r="O145" s="707" t="s">
        <v>398</v>
      </c>
      <c r="P145" s="707" t="s">
        <v>398</v>
      </c>
      <c r="Q145" s="707" t="s">
        <v>398</v>
      </c>
      <c r="R145" s="707" t="s">
        <v>398</v>
      </c>
      <c r="S145" s="707" t="s">
        <v>398</v>
      </c>
      <c r="T145" s="707" t="s">
        <v>398</v>
      </c>
      <c r="U145" s="707" t="s">
        <v>398</v>
      </c>
      <c r="V145" s="707" t="s">
        <v>398</v>
      </c>
    </row>
    <row r="146" spans="2:22" outlineLevel="1">
      <c r="B146" s="701" t="s">
        <v>423</v>
      </c>
      <c r="C146" s="702" t="str">
        <f>IF('R6a - Net Debt input'!D87 = "","",'R6a - Net Debt input'!D87)</f>
        <v/>
      </c>
      <c r="D146" s="702" t="str">
        <f>IF('R6a - Net Debt input'!E87 = "","",'R6a - Net Debt input'!E87)</f>
        <v/>
      </c>
      <c r="E146" s="715" t="str">
        <f>IF('R6a - Net Debt input'!F87 = "","",'R6a - Net Debt input'!F87)</f>
        <v/>
      </c>
      <c r="F146" s="716" t="str">
        <f>IF('R6a - Net Debt input'!G87 = "","",'R6a - Net Debt input'!G87)</f>
        <v/>
      </c>
      <c r="G146" s="721" t="str">
        <f>IF('R6a - Net Debt input'!H87 = "","",'R6a - Net Debt input'!H87)</f>
        <v/>
      </c>
      <c r="H146" s="716" t="str">
        <f>IF('R6a - Net Debt input'!I87 = "","",'R6a - Net Debt input'!I87)</f>
        <v/>
      </c>
      <c r="I146" s="706" t="str">
        <f>IF('R6a - Net Debt input'!J87 = "","",'R6a - Net Debt input'!J87)</f>
        <v/>
      </c>
      <c r="J146" s="130"/>
      <c r="K146" s="131"/>
      <c r="L146" s="132"/>
      <c r="M146" s="779">
        <v>0</v>
      </c>
      <c r="N146" s="779">
        <v>0</v>
      </c>
      <c r="O146" s="779">
        <v>0</v>
      </c>
      <c r="P146" s="779">
        <v>0</v>
      </c>
      <c r="Q146" s="779">
        <v>0</v>
      </c>
      <c r="R146" s="779">
        <v>0</v>
      </c>
      <c r="S146" s="779">
        <v>0</v>
      </c>
      <c r="T146" s="779">
        <v>0</v>
      </c>
      <c r="U146" s="779">
        <v>0</v>
      </c>
      <c r="V146" s="779">
        <v>0</v>
      </c>
    </row>
    <row r="147" spans="2:22" outlineLevel="1">
      <c r="B147" s="722" t="s">
        <v>424</v>
      </c>
      <c r="C147" s="702" t="str">
        <f>IF('R6a - Net Debt input'!D88 = "","",'R6a - Net Debt input'!D88)</f>
        <v/>
      </c>
      <c r="D147" s="702" t="str">
        <f>IF('R6a - Net Debt input'!E88 = "","",'R6a - Net Debt input'!E88)</f>
        <v/>
      </c>
      <c r="E147" s="715" t="str">
        <f>IF('R6a - Net Debt input'!F88 = "","",'R6a - Net Debt input'!F88)</f>
        <v/>
      </c>
      <c r="F147" s="716" t="str">
        <f>IF('R6a - Net Debt input'!G88 = "","",'R6a - Net Debt input'!G88)</f>
        <v/>
      </c>
      <c r="G147" s="721" t="str">
        <f>IF('R6a - Net Debt input'!H88 = "","",'R6a - Net Debt input'!H88)</f>
        <v/>
      </c>
      <c r="H147" s="716" t="str">
        <f>IF('R6a - Net Debt input'!I88 = "","",'R6a - Net Debt input'!I88)</f>
        <v/>
      </c>
      <c r="I147" s="706" t="str">
        <f>IF('R6a - Net Debt input'!J88 = "","",'R6a - Net Debt input'!J88)</f>
        <v/>
      </c>
      <c r="J147" s="130"/>
      <c r="K147" s="131"/>
      <c r="L147" s="132"/>
      <c r="M147" s="779">
        <v>0</v>
      </c>
      <c r="N147" s="779">
        <v>0</v>
      </c>
      <c r="O147" s="779">
        <v>0</v>
      </c>
      <c r="P147" s="779">
        <v>0</v>
      </c>
      <c r="Q147" s="779">
        <v>0</v>
      </c>
      <c r="R147" s="779">
        <v>0</v>
      </c>
      <c r="S147" s="779">
        <v>0</v>
      </c>
      <c r="T147" s="779">
        <v>0</v>
      </c>
      <c r="U147" s="779">
        <v>0</v>
      </c>
      <c r="V147" s="779">
        <v>0</v>
      </c>
    </row>
    <row r="148" spans="2:22" outlineLevel="1">
      <c r="B148" s="701" t="s">
        <v>425</v>
      </c>
      <c r="C148" s="702" t="str">
        <f>IF('R6a - Net Debt input'!D89 = "","",'R6a - Net Debt input'!D89)</f>
        <v/>
      </c>
      <c r="D148" s="702" t="str">
        <f>IF('R6a - Net Debt input'!E89 = "","",'R6a - Net Debt input'!E89)</f>
        <v/>
      </c>
      <c r="E148" s="715" t="str">
        <f>IF('R6a - Net Debt input'!F89 = "","",'R6a - Net Debt input'!F89)</f>
        <v/>
      </c>
      <c r="F148" s="716" t="str">
        <f>IF('R6a - Net Debt input'!G89 = "","",'R6a - Net Debt input'!G89)</f>
        <v/>
      </c>
      <c r="G148" s="721" t="str">
        <f>IF('R6a - Net Debt input'!H89 = "","",'R6a - Net Debt input'!H89)</f>
        <v/>
      </c>
      <c r="H148" s="716" t="str">
        <f>IF('R6a - Net Debt input'!I89 = "","",'R6a - Net Debt input'!I89)</f>
        <v/>
      </c>
      <c r="I148" s="706" t="str">
        <f>IF('R6a - Net Debt input'!J89 = "","",'R6a - Net Debt input'!J89)</f>
        <v/>
      </c>
      <c r="J148" s="130"/>
      <c r="K148" s="131"/>
      <c r="L148" s="132"/>
      <c r="M148" s="779">
        <v>0</v>
      </c>
      <c r="N148" s="779">
        <v>0</v>
      </c>
      <c r="O148" s="779">
        <v>0</v>
      </c>
      <c r="P148" s="779">
        <v>0</v>
      </c>
      <c r="Q148" s="779">
        <v>0</v>
      </c>
      <c r="R148" s="779">
        <v>0</v>
      </c>
      <c r="S148" s="779">
        <v>0</v>
      </c>
      <c r="T148" s="779">
        <v>0</v>
      </c>
      <c r="U148" s="779">
        <v>0</v>
      </c>
      <c r="V148" s="779">
        <v>0</v>
      </c>
    </row>
    <row r="149" spans="2:22" outlineLevel="1">
      <c r="B149" s="722" t="s">
        <v>426</v>
      </c>
      <c r="C149" s="702" t="str">
        <f>IF('R6a - Net Debt input'!D90 = "","",'R6a - Net Debt input'!D90)</f>
        <v/>
      </c>
      <c r="D149" s="702" t="str">
        <f>IF('R6a - Net Debt input'!E90 = "","",'R6a - Net Debt input'!E90)</f>
        <v/>
      </c>
      <c r="E149" s="715" t="str">
        <f>IF('R6a - Net Debt input'!F90 = "","",'R6a - Net Debt input'!F90)</f>
        <v/>
      </c>
      <c r="F149" s="716" t="str">
        <f>IF('R6a - Net Debt input'!G90 = "","",'R6a - Net Debt input'!G90)</f>
        <v/>
      </c>
      <c r="G149" s="721" t="str">
        <f>IF('R6a - Net Debt input'!H90 = "","",'R6a - Net Debt input'!H90)</f>
        <v/>
      </c>
      <c r="H149" s="716" t="str">
        <f>IF('R6a - Net Debt input'!I90 = "","",'R6a - Net Debt input'!I90)</f>
        <v/>
      </c>
      <c r="I149" s="706" t="str">
        <f>IF('R6a - Net Debt input'!J90 = "","",'R6a - Net Debt input'!J90)</f>
        <v/>
      </c>
      <c r="J149" s="130"/>
      <c r="K149" s="131"/>
      <c r="L149" s="132"/>
      <c r="M149" s="779">
        <v>0</v>
      </c>
      <c r="N149" s="779">
        <v>0</v>
      </c>
      <c r="O149" s="779">
        <v>0</v>
      </c>
      <c r="P149" s="779">
        <v>0</v>
      </c>
      <c r="Q149" s="779">
        <v>0</v>
      </c>
      <c r="R149" s="779">
        <v>0</v>
      </c>
      <c r="S149" s="779">
        <v>0</v>
      </c>
      <c r="T149" s="779">
        <v>0</v>
      </c>
      <c r="U149" s="779">
        <v>0</v>
      </c>
      <c r="V149" s="779">
        <v>0</v>
      </c>
    </row>
    <row r="150" spans="2:22" outlineLevel="1">
      <c r="B150" s="701" t="s">
        <v>427</v>
      </c>
      <c r="C150" s="702" t="str">
        <f>IF('R6a - Net Debt input'!D91 = "","",'R6a - Net Debt input'!D91)</f>
        <v/>
      </c>
      <c r="D150" s="702" t="str">
        <f>IF('R6a - Net Debt input'!E91 = "","",'R6a - Net Debt input'!E91)</f>
        <v/>
      </c>
      <c r="E150" s="715" t="str">
        <f>IF('R6a - Net Debt input'!F91 = "","",'R6a - Net Debt input'!F91)</f>
        <v/>
      </c>
      <c r="F150" s="716" t="str">
        <f>IF('R6a - Net Debt input'!G91 = "","",'R6a - Net Debt input'!G91)</f>
        <v/>
      </c>
      <c r="G150" s="721" t="str">
        <f>IF('R6a - Net Debt input'!H91 = "","",'R6a - Net Debt input'!H91)</f>
        <v/>
      </c>
      <c r="H150" s="716" t="str">
        <f>IF('R6a - Net Debt input'!I91 = "","",'R6a - Net Debt input'!I91)</f>
        <v/>
      </c>
      <c r="I150" s="706" t="str">
        <f>IF('R6a - Net Debt input'!J91 = "","",'R6a - Net Debt input'!J91)</f>
        <v/>
      </c>
      <c r="J150" s="130"/>
      <c r="K150" s="131"/>
      <c r="L150" s="132"/>
      <c r="M150" s="779">
        <v>0</v>
      </c>
      <c r="N150" s="779">
        <v>0</v>
      </c>
      <c r="O150" s="779">
        <v>0</v>
      </c>
      <c r="P150" s="779">
        <v>0</v>
      </c>
      <c r="Q150" s="779">
        <v>0</v>
      </c>
      <c r="R150" s="779">
        <v>0</v>
      </c>
      <c r="S150" s="779">
        <v>0</v>
      </c>
      <c r="T150" s="779">
        <v>0</v>
      </c>
      <c r="U150" s="779">
        <v>0</v>
      </c>
      <c r="V150" s="779">
        <v>0</v>
      </c>
    </row>
    <row r="151" spans="2:22" outlineLevel="1">
      <c r="B151" s="722" t="s">
        <v>428</v>
      </c>
      <c r="C151" s="702" t="str">
        <f>IF('R6a - Net Debt input'!D92 = "","",'R6a - Net Debt input'!D92)</f>
        <v/>
      </c>
      <c r="D151" s="702" t="str">
        <f>IF('R6a - Net Debt input'!E92 = "","",'R6a - Net Debt input'!E92)</f>
        <v/>
      </c>
      <c r="E151" s="715" t="str">
        <f>IF('R6a - Net Debt input'!F92 = "","",'R6a - Net Debt input'!F92)</f>
        <v/>
      </c>
      <c r="F151" s="716" t="str">
        <f>IF('R6a - Net Debt input'!G92 = "","",'R6a - Net Debt input'!G92)</f>
        <v/>
      </c>
      <c r="G151" s="721" t="str">
        <f>IF('R6a - Net Debt input'!H92 = "","",'R6a - Net Debt input'!H92)</f>
        <v/>
      </c>
      <c r="H151" s="716" t="str">
        <f>IF('R6a - Net Debt input'!I92 = "","",'R6a - Net Debt input'!I92)</f>
        <v/>
      </c>
      <c r="I151" s="706" t="str">
        <f>IF('R6a - Net Debt input'!J92 = "","",'R6a - Net Debt input'!J92)</f>
        <v/>
      </c>
      <c r="J151" s="130"/>
      <c r="K151" s="131"/>
      <c r="L151" s="132"/>
      <c r="M151" s="779">
        <v>0</v>
      </c>
      <c r="N151" s="779">
        <v>0</v>
      </c>
      <c r="O151" s="779">
        <v>0</v>
      </c>
      <c r="P151" s="779">
        <v>0</v>
      </c>
      <c r="Q151" s="779">
        <v>0</v>
      </c>
      <c r="R151" s="779">
        <v>0</v>
      </c>
      <c r="S151" s="779">
        <v>0</v>
      </c>
      <c r="T151" s="779">
        <v>0</v>
      </c>
      <c r="U151" s="779">
        <v>0</v>
      </c>
      <c r="V151" s="779">
        <v>0</v>
      </c>
    </row>
    <row r="152" spans="2:22" outlineLevel="1">
      <c r="B152" s="701" t="s">
        <v>429</v>
      </c>
      <c r="C152" s="702" t="str">
        <f>IF('R6a - Net Debt input'!D93 = "","",'R6a - Net Debt input'!D93)</f>
        <v/>
      </c>
      <c r="D152" s="702" t="str">
        <f>IF('R6a - Net Debt input'!E93 = "","",'R6a - Net Debt input'!E93)</f>
        <v/>
      </c>
      <c r="E152" s="715" t="str">
        <f>IF('R6a - Net Debt input'!F93 = "","",'R6a - Net Debt input'!F93)</f>
        <v/>
      </c>
      <c r="F152" s="716" t="str">
        <f>IF('R6a - Net Debt input'!G93 = "","",'R6a - Net Debt input'!G93)</f>
        <v/>
      </c>
      <c r="G152" s="721" t="str">
        <f>IF('R6a - Net Debt input'!H93 = "","",'R6a - Net Debt input'!H93)</f>
        <v/>
      </c>
      <c r="H152" s="716" t="str">
        <f>IF('R6a - Net Debt input'!I93 = "","",'R6a - Net Debt input'!I93)</f>
        <v/>
      </c>
      <c r="I152" s="706" t="str">
        <f>IF('R6a - Net Debt input'!J93 = "","",'R6a - Net Debt input'!J93)</f>
        <v/>
      </c>
      <c r="J152" s="130"/>
      <c r="K152" s="131"/>
      <c r="L152" s="132"/>
      <c r="M152" s="779">
        <v>0</v>
      </c>
      <c r="N152" s="779">
        <v>0</v>
      </c>
      <c r="O152" s="779">
        <v>0</v>
      </c>
      <c r="P152" s="779">
        <v>0</v>
      </c>
      <c r="Q152" s="779">
        <v>0</v>
      </c>
      <c r="R152" s="779">
        <v>0</v>
      </c>
      <c r="S152" s="779">
        <v>0</v>
      </c>
      <c r="T152" s="779">
        <v>0</v>
      </c>
      <c r="U152" s="779">
        <v>0</v>
      </c>
      <c r="V152" s="779">
        <v>0</v>
      </c>
    </row>
    <row r="153" spans="2:22" outlineLevel="1">
      <c r="B153" s="722" t="s">
        <v>430</v>
      </c>
      <c r="C153" s="702" t="str">
        <f>IF('R6a - Net Debt input'!D94 = "","",'R6a - Net Debt input'!D94)</f>
        <v/>
      </c>
      <c r="D153" s="702" t="str">
        <f>IF('R6a - Net Debt input'!E94 = "","",'R6a - Net Debt input'!E94)</f>
        <v/>
      </c>
      <c r="E153" s="715" t="str">
        <f>IF('R6a - Net Debt input'!F94 = "","",'R6a - Net Debt input'!F94)</f>
        <v/>
      </c>
      <c r="F153" s="716" t="str">
        <f>IF('R6a - Net Debt input'!G94 = "","",'R6a - Net Debt input'!G94)</f>
        <v/>
      </c>
      <c r="G153" s="721" t="str">
        <f>IF('R6a - Net Debt input'!H94 = "","",'R6a - Net Debt input'!H94)</f>
        <v/>
      </c>
      <c r="H153" s="716" t="str">
        <f>IF('R6a - Net Debt input'!I94 = "","",'R6a - Net Debt input'!I94)</f>
        <v/>
      </c>
      <c r="I153" s="706" t="str">
        <f>IF('R6a - Net Debt input'!J94 = "","",'R6a - Net Debt input'!J94)</f>
        <v/>
      </c>
      <c r="J153" s="130"/>
      <c r="K153" s="131"/>
      <c r="L153" s="132"/>
      <c r="M153" s="779">
        <v>0</v>
      </c>
      <c r="N153" s="779">
        <v>0</v>
      </c>
      <c r="O153" s="779">
        <v>0</v>
      </c>
      <c r="P153" s="779">
        <v>0</v>
      </c>
      <c r="Q153" s="779">
        <v>0</v>
      </c>
      <c r="R153" s="779">
        <v>0</v>
      </c>
      <c r="S153" s="779">
        <v>0</v>
      </c>
      <c r="T153" s="779">
        <v>0</v>
      </c>
      <c r="U153" s="779">
        <v>0</v>
      </c>
      <c r="V153" s="779">
        <v>0</v>
      </c>
    </row>
    <row r="154" spans="2:22" outlineLevel="1">
      <c r="B154" s="701" t="s">
        <v>431</v>
      </c>
      <c r="C154" s="702" t="str">
        <f>IF('R6a - Net Debt input'!D95 = "","",'R6a - Net Debt input'!D95)</f>
        <v/>
      </c>
      <c r="D154" s="702" t="str">
        <f>IF('R6a - Net Debt input'!E95 = "","",'R6a - Net Debt input'!E95)</f>
        <v/>
      </c>
      <c r="E154" s="715" t="str">
        <f>IF('R6a - Net Debt input'!F95 = "","",'R6a - Net Debt input'!F95)</f>
        <v/>
      </c>
      <c r="F154" s="716" t="str">
        <f>IF('R6a - Net Debt input'!G95 = "","",'R6a - Net Debt input'!G95)</f>
        <v/>
      </c>
      <c r="G154" s="721" t="str">
        <f>IF('R6a - Net Debt input'!H95 = "","",'R6a - Net Debt input'!H95)</f>
        <v/>
      </c>
      <c r="H154" s="716" t="str">
        <f>IF('R6a - Net Debt input'!I95 = "","",'R6a - Net Debt input'!I95)</f>
        <v/>
      </c>
      <c r="I154" s="706" t="str">
        <f>IF('R6a - Net Debt input'!J95 = "","",'R6a - Net Debt input'!J95)</f>
        <v/>
      </c>
      <c r="J154" s="130"/>
      <c r="K154" s="131"/>
      <c r="L154" s="132"/>
      <c r="M154" s="779">
        <v>0</v>
      </c>
      <c r="N154" s="779">
        <v>0</v>
      </c>
      <c r="O154" s="779">
        <v>0</v>
      </c>
      <c r="P154" s="779">
        <v>0</v>
      </c>
      <c r="Q154" s="779">
        <v>0</v>
      </c>
      <c r="R154" s="779">
        <v>0</v>
      </c>
      <c r="S154" s="779">
        <v>0</v>
      </c>
      <c r="T154" s="779">
        <v>0</v>
      </c>
      <c r="U154" s="779">
        <v>0</v>
      </c>
      <c r="V154" s="779">
        <v>0</v>
      </c>
    </row>
    <row r="155" spans="2:22" outlineLevel="1">
      <c r="C155" s="101"/>
      <c r="D155" s="98"/>
      <c r="E155" s="98"/>
      <c r="F155" s="98"/>
      <c r="H155" s="117"/>
      <c r="L155" s="536" t="s">
        <v>309</v>
      </c>
      <c r="M155" s="780">
        <f t="shared" ref="M155:V155" si="55">SUM(M146:M154)</f>
        <v>0</v>
      </c>
      <c r="N155" s="780">
        <f t="shared" si="55"/>
        <v>0</v>
      </c>
      <c r="O155" s="780">
        <f t="shared" si="55"/>
        <v>0</v>
      </c>
      <c r="P155" s="780">
        <f t="shared" si="55"/>
        <v>0</v>
      </c>
      <c r="Q155" s="780">
        <f t="shared" si="55"/>
        <v>0</v>
      </c>
      <c r="R155" s="780">
        <f t="shared" si="55"/>
        <v>0</v>
      </c>
      <c r="S155" s="780">
        <f t="shared" si="55"/>
        <v>0</v>
      </c>
      <c r="T155" s="780">
        <f t="shared" si="55"/>
        <v>0</v>
      </c>
      <c r="U155" s="780">
        <f t="shared" si="55"/>
        <v>0</v>
      </c>
      <c r="V155" s="780">
        <f t="shared" si="55"/>
        <v>0</v>
      </c>
    </row>
    <row r="156" spans="2:22" outlineLevel="1">
      <c r="L156" s="114"/>
      <c r="U156" s="179"/>
    </row>
    <row r="157" spans="2:22" ht="17.5" outlineLevel="1">
      <c r="D157" s="166" t="s">
        <v>403</v>
      </c>
      <c r="E157" s="167"/>
      <c r="F157" s="167"/>
      <c r="G157" s="167"/>
      <c r="H157" s="167"/>
      <c r="I157" s="167"/>
      <c r="J157" s="167"/>
      <c r="K157" s="167"/>
      <c r="L157" s="193"/>
      <c r="M157" s="167"/>
      <c r="N157" s="167"/>
      <c r="O157" s="167"/>
      <c r="P157" s="167"/>
      <c r="Q157" s="167"/>
      <c r="R157" s="167"/>
      <c r="S157" s="167"/>
      <c r="T157" s="167"/>
      <c r="U157" s="180"/>
      <c r="V157" s="167"/>
    </row>
    <row r="158" spans="2:22" ht="17.5" outlineLevel="1">
      <c r="D158" s="102"/>
      <c r="L158" s="114"/>
      <c r="U158" s="179"/>
    </row>
    <row r="159" spans="2:22" ht="40.5" outlineLevel="1">
      <c r="B159" s="697" t="s">
        <v>397</v>
      </c>
      <c r="C159" s="700" t="str">
        <f t="shared" ref="C159:I169" si="56">C144</f>
        <v>Issue date</v>
      </c>
      <c r="D159" s="700" t="str">
        <f t="shared" si="56"/>
        <v>Maturity date</v>
      </c>
      <c r="E159" s="700" t="str">
        <f t="shared" si="56"/>
        <v>Description</v>
      </c>
      <c r="F159" s="700" t="str">
        <f t="shared" si="56"/>
        <v>Loan type</v>
      </c>
      <c r="G159" s="700" t="str">
        <f t="shared" si="56"/>
        <v>Payment rank</v>
      </c>
      <c r="H159" s="714" t="str">
        <f t="shared" si="56"/>
        <v>Reference rate</v>
      </c>
      <c r="I159" s="714" t="str">
        <f t="shared" si="56"/>
        <v>Coupon rate / margin spread on reference rate</v>
      </c>
      <c r="L159" s="114"/>
      <c r="U159" s="179"/>
    </row>
    <row r="160" spans="2:22" outlineLevel="1">
      <c r="B160" s="697"/>
      <c r="C160" s="700" t="str">
        <f t="shared" si="56"/>
        <v>dd/mm/yyyy</v>
      </c>
      <c r="D160" s="700" t="str">
        <f t="shared" si="56"/>
        <v>dd/mm/yyyy</v>
      </c>
      <c r="E160" s="700" t="str">
        <f t="shared" si="56"/>
        <v/>
      </c>
      <c r="F160" s="700" t="str">
        <f t="shared" si="56"/>
        <v/>
      </c>
      <c r="G160" s="700" t="str">
        <f t="shared" si="56"/>
        <v/>
      </c>
      <c r="H160" s="700" t="str">
        <f t="shared" si="56"/>
        <v/>
      </c>
      <c r="I160" s="700" t="str">
        <f t="shared" si="56"/>
        <v xml:space="preserve">% </v>
      </c>
      <c r="L160" s="114"/>
      <c r="M160" s="707" t="s">
        <v>398</v>
      </c>
      <c r="N160" s="707" t="s">
        <v>398</v>
      </c>
      <c r="O160" s="707" t="s">
        <v>398</v>
      </c>
      <c r="P160" s="707" t="s">
        <v>398</v>
      </c>
      <c r="Q160" s="707" t="s">
        <v>398</v>
      </c>
      <c r="R160" s="707" t="s">
        <v>398</v>
      </c>
      <c r="S160" s="707" t="s">
        <v>398</v>
      </c>
      <c r="T160" s="707" t="s">
        <v>398</v>
      </c>
      <c r="U160" s="707" t="s">
        <v>398</v>
      </c>
      <c r="V160" s="707" t="s">
        <v>398</v>
      </c>
    </row>
    <row r="161" spans="2:24" outlineLevel="1">
      <c r="B161" s="701" t="s">
        <v>423</v>
      </c>
      <c r="C161" s="709" t="str">
        <f t="shared" si="56"/>
        <v/>
      </c>
      <c r="D161" s="709" t="str">
        <f t="shared" si="56"/>
        <v/>
      </c>
      <c r="E161" s="718" t="str">
        <f t="shared" si="56"/>
        <v/>
      </c>
      <c r="F161" s="719" t="str">
        <f t="shared" si="56"/>
        <v/>
      </c>
      <c r="G161" s="718" t="str">
        <f t="shared" si="56"/>
        <v/>
      </c>
      <c r="H161" s="719" t="str">
        <f t="shared" si="56"/>
        <v/>
      </c>
      <c r="I161" s="713" t="str">
        <f t="shared" si="56"/>
        <v/>
      </c>
      <c r="J161" s="130"/>
      <c r="K161" s="131"/>
      <c r="L161" s="132"/>
      <c r="M161" s="779">
        <v>0</v>
      </c>
      <c r="N161" s="779">
        <v>0</v>
      </c>
      <c r="O161" s="779">
        <v>0</v>
      </c>
      <c r="P161" s="779">
        <v>0</v>
      </c>
      <c r="Q161" s="779">
        <v>0</v>
      </c>
      <c r="R161" s="779">
        <v>0</v>
      </c>
      <c r="S161" s="779">
        <v>0</v>
      </c>
      <c r="T161" s="779">
        <v>0</v>
      </c>
      <c r="U161" s="779">
        <v>0</v>
      </c>
      <c r="V161" s="779">
        <v>0</v>
      </c>
    </row>
    <row r="162" spans="2:24" outlineLevel="1">
      <c r="B162" s="722" t="s">
        <v>424</v>
      </c>
      <c r="C162" s="709" t="str">
        <f t="shared" si="56"/>
        <v/>
      </c>
      <c r="D162" s="709" t="str">
        <f t="shared" si="56"/>
        <v/>
      </c>
      <c r="E162" s="718" t="str">
        <f t="shared" si="56"/>
        <v/>
      </c>
      <c r="F162" s="719" t="str">
        <f t="shared" si="56"/>
        <v/>
      </c>
      <c r="G162" s="718" t="str">
        <f t="shared" si="56"/>
        <v/>
      </c>
      <c r="H162" s="719" t="str">
        <f t="shared" si="56"/>
        <v/>
      </c>
      <c r="I162" s="713" t="str">
        <f t="shared" si="56"/>
        <v/>
      </c>
      <c r="J162" s="130"/>
      <c r="K162" s="131"/>
      <c r="L162" s="132"/>
      <c r="M162" s="779">
        <v>0</v>
      </c>
      <c r="N162" s="779">
        <v>0</v>
      </c>
      <c r="O162" s="779">
        <v>0</v>
      </c>
      <c r="P162" s="779">
        <v>0</v>
      </c>
      <c r="Q162" s="779">
        <v>0</v>
      </c>
      <c r="R162" s="779">
        <v>0</v>
      </c>
      <c r="S162" s="779">
        <v>0</v>
      </c>
      <c r="T162" s="779">
        <v>0</v>
      </c>
      <c r="U162" s="779">
        <v>0</v>
      </c>
      <c r="V162" s="779">
        <v>0</v>
      </c>
    </row>
    <row r="163" spans="2:24" outlineLevel="1">
      <c r="B163" s="701" t="s">
        <v>425</v>
      </c>
      <c r="C163" s="709" t="str">
        <f t="shared" si="56"/>
        <v/>
      </c>
      <c r="D163" s="709" t="str">
        <f t="shared" si="56"/>
        <v/>
      </c>
      <c r="E163" s="718" t="str">
        <f t="shared" si="56"/>
        <v/>
      </c>
      <c r="F163" s="719" t="str">
        <f t="shared" si="56"/>
        <v/>
      </c>
      <c r="G163" s="718" t="str">
        <f t="shared" si="56"/>
        <v/>
      </c>
      <c r="H163" s="719" t="str">
        <f t="shared" si="56"/>
        <v/>
      </c>
      <c r="I163" s="713" t="str">
        <f t="shared" si="56"/>
        <v/>
      </c>
      <c r="J163" s="130"/>
      <c r="K163" s="131"/>
      <c r="L163" s="132"/>
      <c r="M163" s="779">
        <v>0</v>
      </c>
      <c r="N163" s="779">
        <v>0</v>
      </c>
      <c r="O163" s="779">
        <v>0</v>
      </c>
      <c r="P163" s="779">
        <v>0</v>
      </c>
      <c r="Q163" s="779">
        <v>0</v>
      </c>
      <c r="R163" s="779">
        <v>0</v>
      </c>
      <c r="S163" s="779">
        <v>0</v>
      </c>
      <c r="T163" s="779">
        <v>0</v>
      </c>
      <c r="U163" s="779">
        <v>0</v>
      </c>
      <c r="V163" s="779">
        <v>0</v>
      </c>
    </row>
    <row r="164" spans="2:24" outlineLevel="1">
      <c r="B164" s="722" t="s">
        <v>426</v>
      </c>
      <c r="C164" s="709" t="str">
        <f t="shared" si="56"/>
        <v/>
      </c>
      <c r="D164" s="709" t="str">
        <f t="shared" si="56"/>
        <v/>
      </c>
      <c r="E164" s="718" t="str">
        <f t="shared" si="56"/>
        <v/>
      </c>
      <c r="F164" s="719" t="str">
        <f t="shared" si="56"/>
        <v/>
      </c>
      <c r="G164" s="718" t="str">
        <f t="shared" si="56"/>
        <v/>
      </c>
      <c r="H164" s="719" t="str">
        <f t="shared" si="56"/>
        <v/>
      </c>
      <c r="I164" s="713" t="str">
        <f t="shared" si="56"/>
        <v/>
      </c>
      <c r="J164" s="130"/>
      <c r="K164" s="131"/>
      <c r="L164" s="132"/>
      <c r="M164" s="779">
        <v>0</v>
      </c>
      <c r="N164" s="779">
        <v>0</v>
      </c>
      <c r="O164" s="779">
        <v>0</v>
      </c>
      <c r="P164" s="779">
        <v>0</v>
      </c>
      <c r="Q164" s="779">
        <v>0</v>
      </c>
      <c r="R164" s="779">
        <v>0</v>
      </c>
      <c r="S164" s="779">
        <v>0</v>
      </c>
      <c r="T164" s="779">
        <v>0</v>
      </c>
      <c r="U164" s="779">
        <v>0</v>
      </c>
      <c r="V164" s="779">
        <v>0</v>
      </c>
    </row>
    <row r="165" spans="2:24" outlineLevel="1">
      <c r="B165" s="701" t="s">
        <v>427</v>
      </c>
      <c r="C165" s="709" t="str">
        <f t="shared" si="56"/>
        <v/>
      </c>
      <c r="D165" s="709" t="str">
        <f t="shared" si="56"/>
        <v/>
      </c>
      <c r="E165" s="718" t="str">
        <f t="shared" si="56"/>
        <v/>
      </c>
      <c r="F165" s="719" t="str">
        <f t="shared" si="56"/>
        <v/>
      </c>
      <c r="G165" s="718" t="str">
        <f t="shared" si="56"/>
        <v/>
      </c>
      <c r="H165" s="719" t="str">
        <f t="shared" si="56"/>
        <v/>
      </c>
      <c r="I165" s="713" t="str">
        <f t="shared" si="56"/>
        <v/>
      </c>
      <c r="J165" s="130"/>
      <c r="K165" s="131"/>
      <c r="L165" s="132"/>
      <c r="M165" s="779">
        <v>0</v>
      </c>
      <c r="N165" s="779">
        <v>0</v>
      </c>
      <c r="O165" s="779">
        <v>0</v>
      </c>
      <c r="P165" s="779">
        <v>0</v>
      </c>
      <c r="Q165" s="779">
        <v>0</v>
      </c>
      <c r="R165" s="779">
        <v>0</v>
      </c>
      <c r="S165" s="779">
        <v>0</v>
      </c>
      <c r="T165" s="779">
        <v>0</v>
      </c>
      <c r="U165" s="779">
        <v>0</v>
      </c>
      <c r="V165" s="779">
        <v>0</v>
      </c>
    </row>
    <row r="166" spans="2:24" outlineLevel="1">
      <c r="B166" s="722" t="s">
        <v>428</v>
      </c>
      <c r="C166" s="709" t="str">
        <f t="shared" si="56"/>
        <v/>
      </c>
      <c r="D166" s="709" t="str">
        <f t="shared" si="56"/>
        <v/>
      </c>
      <c r="E166" s="718" t="str">
        <f t="shared" si="56"/>
        <v/>
      </c>
      <c r="F166" s="719" t="str">
        <f t="shared" si="56"/>
        <v/>
      </c>
      <c r="G166" s="718" t="str">
        <f t="shared" si="56"/>
        <v/>
      </c>
      <c r="H166" s="719" t="str">
        <f t="shared" si="56"/>
        <v/>
      </c>
      <c r="I166" s="713" t="str">
        <f t="shared" si="56"/>
        <v/>
      </c>
      <c r="J166" s="130"/>
      <c r="K166" s="131"/>
      <c r="L166" s="132"/>
      <c r="M166" s="779">
        <v>0</v>
      </c>
      <c r="N166" s="779">
        <v>0</v>
      </c>
      <c r="O166" s="779">
        <v>0</v>
      </c>
      <c r="P166" s="779">
        <v>0</v>
      </c>
      <c r="Q166" s="779">
        <v>0</v>
      </c>
      <c r="R166" s="779">
        <v>0</v>
      </c>
      <c r="S166" s="779">
        <v>0</v>
      </c>
      <c r="T166" s="779">
        <v>0</v>
      </c>
      <c r="U166" s="779">
        <v>0</v>
      </c>
      <c r="V166" s="779">
        <v>0</v>
      </c>
    </row>
    <row r="167" spans="2:24" outlineLevel="1">
      <c r="B167" s="701" t="s">
        <v>429</v>
      </c>
      <c r="C167" s="709" t="str">
        <f t="shared" si="56"/>
        <v/>
      </c>
      <c r="D167" s="709" t="str">
        <f t="shared" si="56"/>
        <v/>
      </c>
      <c r="E167" s="718" t="str">
        <f t="shared" si="56"/>
        <v/>
      </c>
      <c r="F167" s="719" t="str">
        <f t="shared" si="56"/>
        <v/>
      </c>
      <c r="G167" s="718" t="str">
        <f t="shared" si="56"/>
        <v/>
      </c>
      <c r="H167" s="719" t="str">
        <f t="shared" si="56"/>
        <v/>
      </c>
      <c r="I167" s="713" t="str">
        <f t="shared" si="56"/>
        <v/>
      </c>
      <c r="J167" s="130"/>
      <c r="K167" s="131"/>
      <c r="L167" s="132"/>
      <c r="M167" s="779">
        <v>0</v>
      </c>
      <c r="N167" s="779">
        <v>0</v>
      </c>
      <c r="O167" s="779">
        <v>0</v>
      </c>
      <c r="P167" s="779">
        <v>0</v>
      </c>
      <c r="Q167" s="779">
        <v>0</v>
      </c>
      <c r="R167" s="779">
        <v>0</v>
      </c>
      <c r="S167" s="779">
        <v>0</v>
      </c>
      <c r="T167" s="779">
        <v>0</v>
      </c>
      <c r="U167" s="779">
        <v>0</v>
      </c>
      <c r="V167" s="779">
        <v>0</v>
      </c>
    </row>
    <row r="168" spans="2:24" outlineLevel="1">
      <c r="B168" s="722" t="s">
        <v>430</v>
      </c>
      <c r="C168" s="709" t="str">
        <f t="shared" si="56"/>
        <v/>
      </c>
      <c r="D168" s="709" t="str">
        <f t="shared" si="56"/>
        <v/>
      </c>
      <c r="E168" s="718" t="str">
        <f t="shared" si="56"/>
        <v/>
      </c>
      <c r="F168" s="719" t="str">
        <f t="shared" si="56"/>
        <v/>
      </c>
      <c r="G168" s="718" t="str">
        <f t="shared" si="56"/>
        <v/>
      </c>
      <c r="H168" s="719" t="str">
        <f t="shared" si="56"/>
        <v/>
      </c>
      <c r="I168" s="713" t="str">
        <f t="shared" si="56"/>
        <v/>
      </c>
      <c r="J168" s="130"/>
      <c r="K168" s="131"/>
      <c r="L168" s="132"/>
      <c r="M168" s="779">
        <v>0</v>
      </c>
      <c r="N168" s="779">
        <v>0</v>
      </c>
      <c r="O168" s="779">
        <v>0</v>
      </c>
      <c r="P168" s="779">
        <v>0</v>
      </c>
      <c r="Q168" s="779">
        <v>0</v>
      </c>
      <c r="R168" s="779">
        <v>0</v>
      </c>
      <c r="S168" s="779">
        <v>0</v>
      </c>
      <c r="T168" s="779">
        <v>0</v>
      </c>
      <c r="U168" s="779">
        <v>0</v>
      </c>
      <c r="V168" s="779">
        <v>0</v>
      </c>
    </row>
    <row r="169" spans="2:24" outlineLevel="1">
      <c r="B169" s="701" t="s">
        <v>431</v>
      </c>
      <c r="C169" s="709" t="str">
        <f t="shared" si="56"/>
        <v/>
      </c>
      <c r="D169" s="709" t="str">
        <f t="shared" si="56"/>
        <v/>
      </c>
      <c r="E169" s="718" t="str">
        <f t="shared" si="56"/>
        <v/>
      </c>
      <c r="F169" s="719" t="str">
        <f t="shared" si="56"/>
        <v/>
      </c>
      <c r="G169" s="718" t="str">
        <f t="shared" si="56"/>
        <v/>
      </c>
      <c r="H169" s="719" t="str">
        <f t="shared" si="56"/>
        <v/>
      </c>
      <c r="I169" s="713" t="str">
        <f t="shared" si="56"/>
        <v/>
      </c>
      <c r="J169" s="130"/>
      <c r="K169" s="131"/>
      <c r="L169" s="132"/>
      <c r="M169" s="779">
        <v>0</v>
      </c>
      <c r="N169" s="779">
        <v>0</v>
      </c>
      <c r="O169" s="779">
        <v>0</v>
      </c>
      <c r="P169" s="779">
        <v>0</v>
      </c>
      <c r="Q169" s="779">
        <v>0</v>
      </c>
      <c r="R169" s="779">
        <v>0</v>
      </c>
      <c r="S169" s="779">
        <v>0</v>
      </c>
      <c r="T169" s="779">
        <v>0</v>
      </c>
      <c r="U169" s="779">
        <v>0</v>
      </c>
      <c r="V169" s="779">
        <v>0</v>
      </c>
    </row>
    <row r="170" spans="2:24" outlineLevel="1">
      <c r="C170" s="98"/>
      <c r="D170" s="98"/>
      <c r="E170" s="98"/>
      <c r="F170" s="98"/>
      <c r="L170" s="536" t="s">
        <v>309</v>
      </c>
      <c r="M170" s="780">
        <f t="shared" ref="M170:V170" si="57">SUM(M161:M169)</f>
        <v>0</v>
      </c>
      <c r="N170" s="780">
        <f t="shared" si="57"/>
        <v>0</v>
      </c>
      <c r="O170" s="780">
        <f t="shared" si="57"/>
        <v>0</v>
      </c>
      <c r="P170" s="780">
        <f t="shared" si="57"/>
        <v>0</v>
      </c>
      <c r="Q170" s="780">
        <f t="shared" si="57"/>
        <v>0</v>
      </c>
      <c r="R170" s="780">
        <f t="shared" si="57"/>
        <v>0</v>
      </c>
      <c r="S170" s="780">
        <f t="shared" si="57"/>
        <v>0</v>
      </c>
      <c r="T170" s="780">
        <f t="shared" si="57"/>
        <v>0</v>
      </c>
      <c r="U170" s="780">
        <f t="shared" si="57"/>
        <v>0</v>
      </c>
      <c r="V170" s="780">
        <f t="shared" si="57"/>
        <v>0</v>
      </c>
    </row>
    <row r="171" spans="2:24" outlineLevel="1">
      <c r="C171" s="98"/>
      <c r="D171" s="103"/>
      <c r="E171" s="103"/>
      <c r="F171" s="103"/>
      <c r="L171" s="114"/>
      <c r="M171" s="103"/>
      <c r="N171" s="103"/>
      <c r="O171" s="103"/>
      <c r="P171" s="103"/>
      <c r="Q171" s="103"/>
      <c r="R171" s="103"/>
      <c r="S171" s="103"/>
      <c r="T171" s="103"/>
      <c r="U171" s="181"/>
      <c r="V171" s="103"/>
      <c r="W171" s="103"/>
      <c r="X171" s="103"/>
    </row>
    <row r="172" spans="2:24">
      <c r="C172" s="98"/>
      <c r="D172" s="103"/>
      <c r="E172" s="103"/>
      <c r="F172" s="103"/>
      <c r="L172" s="114"/>
      <c r="M172" s="103"/>
      <c r="N172" s="103"/>
      <c r="O172" s="103"/>
      <c r="P172" s="103"/>
      <c r="Q172" s="103"/>
      <c r="R172" s="103"/>
      <c r="S172" s="103"/>
      <c r="T172" s="103"/>
      <c r="U172" s="181"/>
      <c r="V172" s="103"/>
      <c r="W172" s="103"/>
      <c r="X172" s="103"/>
    </row>
    <row r="173" spans="2:24" ht="14">
      <c r="B173" s="156" t="s">
        <v>432</v>
      </c>
      <c r="C173" s="157" t="s">
        <v>433</v>
      </c>
      <c r="D173" s="157"/>
      <c r="E173" s="157"/>
      <c r="F173" s="157"/>
      <c r="G173" s="158"/>
      <c r="H173" s="158"/>
      <c r="I173" s="158"/>
      <c r="J173" s="158"/>
      <c r="K173" s="158"/>
      <c r="L173" s="196"/>
      <c r="M173" s="157"/>
      <c r="N173" s="157"/>
      <c r="O173" s="157"/>
      <c r="P173" s="157"/>
      <c r="Q173" s="157"/>
      <c r="R173" s="157"/>
      <c r="S173" s="157"/>
      <c r="T173" s="157"/>
      <c r="U173" s="183"/>
      <c r="V173" s="157"/>
    </row>
    <row r="174" spans="2:24" ht="14">
      <c r="B174" s="161"/>
      <c r="C174" s="162"/>
      <c r="D174" s="162"/>
      <c r="E174" s="162"/>
      <c r="F174" s="162"/>
      <c r="G174" s="163"/>
      <c r="H174" s="163"/>
      <c r="I174" s="163"/>
      <c r="J174" s="163"/>
      <c r="K174" s="163"/>
      <c r="L174" s="197"/>
      <c r="M174" s="162"/>
      <c r="N174" s="162"/>
      <c r="O174" s="162"/>
      <c r="P174" s="162"/>
      <c r="Q174" s="162"/>
      <c r="R174" s="162"/>
      <c r="S174" s="162"/>
      <c r="T174" s="162"/>
      <c r="U174" s="184"/>
      <c r="V174" s="162"/>
    </row>
    <row r="175" spans="2:24" ht="17.5" outlineLevel="1">
      <c r="B175" s="101"/>
      <c r="C175" s="98"/>
      <c r="D175" s="166" t="s">
        <v>396</v>
      </c>
      <c r="E175" s="168"/>
      <c r="F175" s="168"/>
      <c r="G175" s="167"/>
      <c r="H175" s="167"/>
      <c r="I175" s="167"/>
      <c r="J175" s="167"/>
      <c r="K175" s="167"/>
      <c r="L175" s="193"/>
      <c r="M175" s="168"/>
      <c r="N175" s="168"/>
      <c r="O175" s="168"/>
      <c r="P175" s="168"/>
      <c r="Q175" s="168"/>
      <c r="R175" s="168"/>
      <c r="S175" s="168"/>
      <c r="T175" s="168"/>
      <c r="U175" s="185"/>
      <c r="V175" s="168"/>
    </row>
    <row r="176" spans="2:24" ht="17.5" outlineLevel="1">
      <c r="B176" s="101"/>
      <c r="C176" s="98"/>
      <c r="D176" s="102"/>
      <c r="E176" s="98"/>
      <c r="F176" s="98"/>
      <c r="L176" s="114"/>
      <c r="M176" s="98"/>
      <c r="N176" s="98"/>
      <c r="O176" s="98"/>
      <c r="P176" s="98"/>
      <c r="Q176" s="98"/>
      <c r="R176" s="98"/>
      <c r="S176" s="98"/>
      <c r="T176" s="98"/>
      <c r="U176" s="182"/>
      <c r="V176" s="98"/>
    </row>
    <row r="177" spans="2:22" ht="40.5" outlineLevel="1">
      <c r="B177" s="697" t="s">
        <v>397</v>
      </c>
      <c r="C177" s="714" t="str">
        <f>IF('R6a - Net Debt input'!D100 = "","",'R6a - Net Debt input'!D100)</f>
        <v>Issue date</v>
      </c>
      <c r="D177" s="714" t="str">
        <f>IF('R6a - Net Debt input'!E100 = "","",'R6a - Net Debt input'!E100)</f>
        <v>Maturity date</v>
      </c>
      <c r="E177" s="714" t="str">
        <f>IF('R6a - Net Debt input'!F100 = "","",'R6a - Net Debt input'!F100)</f>
        <v>Description</v>
      </c>
      <c r="F177" s="714" t="str">
        <f>IF('R6a - Net Debt input'!G100 = "","",'R6a - Net Debt input'!G100)</f>
        <v>Loan type</v>
      </c>
      <c r="G177" s="714" t="str">
        <f>IF('R6a - Net Debt input'!H100 = "","",'R6a - Net Debt input'!H100)</f>
        <v>Payment rank</v>
      </c>
      <c r="H177" s="714" t="str">
        <f>IF('R6a - Net Debt input'!I100 = "","",'R6a - Net Debt input'!I100)</f>
        <v>Reference rate</v>
      </c>
      <c r="I177" s="714" t="str">
        <f>IF('R6a - Net Debt input'!J100 = "","",'R6a - Net Debt input'!J100)</f>
        <v>Coupon rate / margin spread on reference rate</v>
      </c>
      <c r="L177" s="114"/>
      <c r="U177" s="179"/>
    </row>
    <row r="178" spans="2:22" outlineLevel="1">
      <c r="B178" s="537"/>
      <c r="C178" s="714" t="str">
        <f>IF('R6a - Net Debt input'!D101 = "","",'R6a - Net Debt input'!D101)</f>
        <v>dd/mm/yyyy</v>
      </c>
      <c r="D178" s="714" t="str">
        <f>IF('R6a - Net Debt input'!E101 = "","",'R6a - Net Debt input'!E101)</f>
        <v>dd/mm/yyyy</v>
      </c>
      <c r="E178" s="714" t="str">
        <f>IF('R6a - Net Debt input'!F101 = "","",'R6a - Net Debt input'!F101)</f>
        <v/>
      </c>
      <c r="F178" s="714" t="str">
        <f>IF('R6a - Net Debt input'!G101 = "","",'R6a - Net Debt input'!G101)</f>
        <v/>
      </c>
      <c r="G178" s="714" t="str">
        <f>IF('R6a - Net Debt input'!H101 = "","",'R6a - Net Debt input'!H101)</f>
        <v/>
      </c>
      <c r="H178" s="714" t="str">
        <f>IF('R6a - Net Debt input'!I101 = "","",'R6a - Net Debt input'!I101)</f>
        <v/>
      </c>
      <c r="I178" s="714" t="str">
        <f>IF('R6a - Net Debt input'!J101 = "","",'R6a - Net Debt input'!J101)</f>
        <v xml:space="preserve">% </v>
      </c>
      <c r="L178" s="114"/>
      <c r="M178" s="707" t="s">
        <v>398</v>
      </c>
      <c r="N178" s="707" t="s">
        <v>398</v>
      </c>
      <c r="O178" s="707" t="s">
        <v>398</v>
      </c>
      <c r="P178" s="707" t="s">
        <v>398</v>
      </c>
      <c r="Q178" s="707" t="s">
        <v>398</v>
      </c>
      <c r="R178" s="707" t="s">
        <v>398</v>
      </c>
      <c r="S178" s="707" t="s">
        <v>398</v>
      </c>
      <c r="T178" s="707" t="s">
        <v>398</v>
      </c>
      <c r="U178" s="707" t="s">
        <v>398</v>
      </c>
      <c r="V178" s="707" t="s">
        <v>398</v>
      </c>
    </row>
    <row r="179" spans="2:22" outlineLevel="1">
      <c r="B179" s="701" t="s">
        <v>434</v>
      </c>
      <c r="C179" s="702" t="str">
        <f>IF('R6a - Net Debt input'!D102 = "","",'R6a - Net Debt input'!D102)</f>
        <v>On demand</v>
      </c>
      <c r="D179" s="702" t="str">
        <f>IF('R6a - Net Debt input'!E102 = "","",'R6a - Net Debt input'!E102)</f>
        <v/>
      </c>
      <c r="E179" s="715" t="str">
        <f>IF('R6a - Net Debt input'!F102 = "","",'R6a - Net Debt input'!F102)</f>
        <v/>
      </c>
      <c r="F179" s="716" t="str">
        <f>IF('R6a - Net Debt input'!G102 = "","",'R6a - Net Debt input'!G102)</f>
        <v/>
      </c>
      <c r="G179" s="715" t="str">
        <f>IF('R6a - Net Debt input'!H102 = "","",'R6a - Net Debt input'!H102)</f>
        <v/>
      </c>
      <c r="H179" s="797" t="str">
        <f>IF('R6a - Net Debt input'!I102 = "","",'R6a - Net Debt input'!I102)</f>
        <v>SONIA</v>
      </c>
      <c r="I179" s="798">
        <f>IF('R6a - Net Debt input'!J102 = "","",'R6a - Net Debt input'!J102)</f>
        <v>2.5000000000000001E-3</v>
      </c>
      <c r="J179" s="130"/>
      <c r="K179" s="131"/>
      <c r="L179" s="132"/>
      <c r="M179" s="779">
        <v>-3.2748884246612935</v>
      </c>
      <c r="N179" s="779">
        <v>0</v>
      </c>
      <c r="O179" s="779">
        <v>0</v>
      </c>
      <c r="P179" s="779">
        <v>0</v>
      </c>
      <c r="Q179" s="779">
        <v>0</v>
      </c>
      <c r="R179" s="779">
        <v>0</v>
      </c>
      <c r="S179" s="779">
        <v>0</v>
      </c>
      <c r="T179" s="779">
        <v>0</v>
      </c>
      <c r="U179" s="779">
        <v>0</v>
      </c>
      <c r="V179" s="779">
        <v>0</v>
      </c>
    </row>
    <row r="180" spans="2:22" outlineLevel="1">
      <c r="B180" s="722" t="s">
        <v>435</v>
      </c>
      <c r="C180" s="702" t="str">
        <f>IF('R6a - Net Debt input'!D103 = "","",'R6a - Net Debt input'!D103)</f>
        <v/>
      </c>
      <c r="D180" s="702" t="str">
        <f>IF('R6a - Net Debt input'!E103 = "","",'R6a - Net Debt input'!E103)</f>
        <v/>
      </c>
      <c r="E180" s="715" t="str">
        <f>IF('R6a - Net Debt input'!F103 = "","",'R6a - Net Debt input'!F103)</f>
        <v/>
      </c>
      <c r="F180" s="716" t="str">
        <f>IF('R6a - Net Debt input'!G103 = "","",'R6a - Net Debt input'!G103)</f>
        <v/>
      </c>
      <c r="G180" s="715" t="str">
        <f>IF('R6a - Net Debt input'!H103 = "","",'R6a - Net Debt input'!H103)</f>
        <v/>
      </c>
      <c r="H180" s="716" t="str">
        <f>IF('R6a - Net Debt input'!I103 = "","",'R6a - Net Debt input'!I103)</f>
        <v/>
      </c>
      <c r="I180" s="706" t="str">
        <f>IF('R6a - Net Debt input'!J103 = "","",'R6a - Net Debt input'!J103)</f>
        <v/>
      </c>
      <c r="J180" s="130"/>
      <c r="K180" s="131"/>
      <c r="L180" s="132"/>
      <c r="M180" s="779">
        <v>0</v>
      </c>
      <c r="N180" s="779">
        <v>0</v>
      </c>
      <c r="O180" s="779">
        <v>0</v>
      </c>
      <c r="P180" s="779">
        <v>0</v>
      </c>
      <c r="Q180" s="779">
        <v>0</v>
      </c>
      <c r="R180" s="779">
        <v>0</v>
      </c>
      <c r="S180" s="779">
        <v>0</v>
      </c>
      <c r="T180" s="779">
        <v>0</v>
      </c>
      <c r="U180" s="779">
        <v>0</v>
      </c>
      <c r="V180" s="779">
        <v>0</v>
      </c>
    </row>
    <row r="181" spans="2:22" outlineLevel="1">
      <c r="B181" s="701" t="s">
        <v>436</v>
      </c>
      <c r="C181" s="702" t="str">
        <f>IF('R6a - Net Debt input'!D104 = "","",'R6a - Net Debt input'!D104)</f>
        <v/>
      </c>
      <c r="D181" s="702" t="str">
        <f>IF('R6a - Net Debt input'!E104 = "","",'R6a - Net Debt input'!E104)</f>
        <v/>
      </c>
      <c r="E181" s="715" t="str">
        <f>IF('R6a - Net Debt input'!F104 = "","",'R6a - Net Debt input'!F104)</f>
        <v/>
      </c>
      <c r="F181" s="716" t="str">
        <f>IF('R6a - Net Debt input'!G104 = "","",'R6a - Net Debt input'!G104)</f>
        <v/>
      </c>
      <c r="G181" s="715" t="str">
        <f>IF('R6a - Net Debt input'!H104 = "","",'R6a - Net Debt input'!H104)</f>
        <v/>
      </c>
      <c r="H181" s="716" t="str">
        <f>IF('R6a - Net Debt input'!I104 = "","",'R6a - Net Debt input'!I104)</f>
        <v/>
      </c>
      <c r="I181" s="706" t="str">
        <f>IF('R6a - Net Debt input'!J104 = "","",'R6a - Net Debt input'!J104)</f>
        <v/>
      </c>
      <c r="J181" s="130"/>
      <c r="K181" s="131"/>
      <c r="L181" s="132"/>
      <c r="M181" s="779">
        <v>0</v>
      </c>
      <c r="N181" s="779">
        <v>0</v>
      </c>
      <c r="O181" s="779">
        <v>0</v>
      </c>
      <c r="P181" s="779">
        <v>0</v>
      </c>
      <c r="Q181" s="779">
        <v>0</v>
      </c>
      <c r="R181" s="779">
        <v>0</v>
      </c>
      <c r="S181" s="779">
        <v>0</v>
      </c>
      <c r="T181" s="779">
        <v>0</v>
      </c>
      <c r="U181" s="779">
        <v>0</v>
      </c>
      <c r="V181" s="779">
        <v>0</v>
      </c>
    </row>
    <row r="182" spans="2:22" outlineLevel="1">
      <c r="B182" s="722" t="s">
        <v>437</v>
      </c>
      <c r="C182" s="702" t="str">
        <f>IF('R6a - Net Debt input'!D105 = "","",'R6a - Net Debt input'!D105)</f>
        <v/>
      </c>
      <c r="D182" s="702" t="str">
        <f>IF('R6a - Net Debt input'!E105 = "","",'R6a - Net Debt input'!E105)</f>
        <v/>
      </c>
      <c r="E182" s="715" t="str">
        <f>IF('R6a - Net Debt input'!F105 = "","",'R6a - Net Debt input'!F105)</f>
        <v/>
      </c>
      <c r="F182" s="716" t="str">
        <f>IF('R6a - Net Debt input'!G105 = "","",'R6a - Net Debt input'!G105)</f>
        <v/>
      </c>
      <c r="G182" s="715" t="str">
        <f>IF('R6a - Net Debt input'!H105 = "","",'R6a - Net Debt input'!H105)</f>
        <v/>
      </c>
      <c r="H182" s="716" t="str">
        <f>IF('R6a - Net Debt input'!I105 = "","",'R6a - Net Debt input'!I105)</f>
        <v/>
      </c>
      <c r="I182" s="706" t="str">
        <f>IF('R6a - Net Debt input'!J105 = "","",'R6a - Net Debt input'!J105)</f>
        <v/>
      </c>
      <c r="J182" s="130"/>
      <c r="K182" s="131"/>
      <c r="L182" s="132"/>
      <c r="M182" s="779">
        <v>0</v>
      </c>
      <c r="N182" s="779">
        <v>0</v>
      </c>
      <c r="O182" s="779">
        <v>0</v>
      </c>
      <c r="P182" s="779">
        <v>0</v>
      </c>
      <c r="Q182" s="779">
        <v>0</v>
      </c>
      <c r="R182" s="779">
        <v>0</v>
      </c>
      <c r="S182" s="779">
        <v>0</v>
      </c>
      <c r="T182" s="779">
        <v>0</v>
      </c>
      <c r="U182" s="779">
        <v>0</v>
      </c>
      <c r="V182" s="779">
        <v>0</v>
      </c>
    </row>
    <row r="183" spans="2:22" outlineLevel="1">
      <c r="B183" s="701" t="s">
        <v>438</v>
      </c>
      <c r="C183" s="702" t="str">
        <f>IF('R6a - Net Debt input'!D106 = "","",'R6a - Net Debt input'!D106)</f>
        <v/>
      </c>
      <c r="D183" s="702" t="str">
        <f>IF('R6a - Net Debt input'!E106 = "","",'R6a - Net Debt input'!E106)</f>
        <v/>
      </c>
      <c r="E183" s="715" t="str">
        <f>IF('R6a - Net Debt input'!F106 = "","",'R6a - Net Debt input'!F106)</f>
        <v/>
      </c>
      <c r="F183" s="716" t="str">
        <f>IF('R6a - Net Debt input'!G106 = "","",'R6a - Net Debt input'!G106)</f>
        <v/>
      </c>
      <c r="G183" s="715" t="str">
        <f>IF('R6a - Net Debt input'!H106 = "","",'R6a - Net Debt input'!H106)</f>
        <v/>
      </c>
      <c r="H183" s="716" t="str">
        <f>IF('R6a - Net Debt input'!I106 = "","",'R6a - Net Debt input'!I106)</f>
        <v/>
      </c>
      <c r="I183" s="706" t="str">
        <f>IF('R6a - Net Debt input'!J106 = "","",'R6a - Net Debt input'!J106)</f>
        <v/>
      </c>
      <c r="J183" s="130"/>
      <c r="K183" s="131"/>
      <c r="L183" s="132"/>
      <c r="M183" s="779">
        <v>0</v>
      </c>
      <c r="N183" s="779">
        <v>0</v>
      </c>
      <c r="O183" s="779">
        <v>0</v>
      </c>
      <c r="P183" s="779">
        <v>0</v>
      </c>
      <c r="Q183" s="779">
        <v>0</v>
      </c>
      <c r="R183" s="779">
        <v>0</v>
      </c>
      <c r="S183" s="779">
        <v>0</v>
      </c>
      <c r="T183" s="779">
        <v>0</v>
      </c>
      <c r="U183" s="779">
        <v>0</v>
      </c>
      <c r="V183" s="779">
        <v>0</v>
      </c>
    </row>
    <row r="184" spans="2:22" outlineLevel="1">
      <c r="B184" s="722" t="s">
        <v>439</v>
      </c>
      <c r="C184" s="702" t="str">
        <f>IF('R6a - Net Debt input'!D107 = "","",'R6a - Net Debt input'!D107)</f>
        <v/>
      </c>
      <c r="D184" s="702" t="str">
        <f>IF('R6a - Net Debt input'!E107 = "","",'R6a - Net Debt input'!E107)</f>
        <v/>
      </c>
      <c r="E184" s="715" t="str">
        <f>IF('R6a - Net Debt input'!F107 = "","",'R6a - Net Debt input'!F107)</f>
        <v/>
      </c>
      <c r="F184" s="716" t="str">
        <f>IF('R6a - Net Debt input'!G107 = "","",'R6a - Net Debt input'!G107)</f>
        <v/>
      </c>
      <c r="G184" s="715" t="str">
        <f>IF('R6a - Net Debt input'!H107 = "","",'R6a - Net Debt input'!H107)</f>
        <v/>
      </c>
      <c r="H184" s="716" t="str">
        <f>IF('R6a - Net Debt input'!I107 = "","",'R6a - Net Debt input'!I107)</f>
        <v/>
      </c>
      <c r="I184" s="706" t="str">
        <f>IF('R6a - Net Debt input'!J107 = "","",'R6a - Net Debt input'!J107)</f>
        <v/>
      </c>
      <c r="J184" s="130"/>
      <c r="K184" s="131"/>
      <c r="L184" s="132"/>
      <c r="M184" s="779">
        <v>0</v>
      </c>
      <c r="N184" s="779">
        <v>0</v>
      </c>
      <c r="O184" s="779">
        <v>0</v>
      </c>
      <c r="P184" s="779">
        <v>0</v>
      </c>
      <c r="Q184" s="779">
        <v>0</v>
      </c>
      <c r="R184" s="779">
        <v>0</v>
      </c>
      <c r="S184" s="779">
        <v>0</v>
      </c>
      <c r="T184" s="779">
        <v>0</v>
      </c>
      <c r="U184" s="779">
        <v>0</v>
      </c>
      <c r="V184" s="779">
        <v>0</v>
      </c>
    </row>
    <row r="185" spans="2:22" outlineLevel="1">
      <c r="B185" s="701" t="s">
        <v>440</v>
      </c>
      <c r="C185" s="702" t="str">
        <f>IF('R6a - Net Debt input'!D108 = "","",'R6a - Net Debt input'!D108)</f>
        <v/>
      </c>
      <c r="D185" s="702" t="str">
        <f>IF('R6a - Net Debt input'!E108 = "","",'R6a - Net Debt input'!E108)</f>
        <v/>
      </c>
      <c r="E185" s="715" t="str">
        <f>IF('R6a - Net Debt input'!F108 = "","",'R6a - Net Debt input'!F108)</f>
        <v/>
      </c>
      <c r="F185" s="716" t="str">
        <f>IF('R6a - Net Debt input'!G108 = "","",'R6a - Net Debt input'!G108)</f>
        <v/>
      </c>
      <c r="G185" s="715" t="str">
        <f>IF('R6a - Net Debt input'!H108 = "","",'R6a - Net Debt input'!H108)</f>
        <v/>
      </c>
      <c r="H185" s="716" t="str">
        <f>IF('R6a - Net Debt input'!I108 = "","",'R6a - Net Debt input'!I108)</f>
        <v/>
      </c>
      <c r="I185" s="706" t="str">
        <f>IF('R6a - Net Debt input'!J108 = "","",'R6a - Net Debt input'!J108)</f>
        <v/>
      </c>
      <c r="J185" s="130"/>
      <c r="K185" s="131"/>
      <c r="L185" s="132"/>
      <c r="M185" s="779">
        <v>0</v>
      </c>
      <c r="N185" s="779">
        <v>0</v>
      </c>
      <c r="O185" s="779">
        <v>0</v>
      </c>
      <c r="P185" s="779">
        <v>0</v>
      </c>
      <c r="Q185" s="779">
        <v>0</v>
      </c>
      <c r="R185" s="779">
        <v>0</v>
      </c>
      <c r="S185" s="779">
        <v>0</v>
      </c>
      <c r="T185" s="779">
        <v>0</v>
      </c>
      <c r="U185" s="779">
        <v>0</v>
      </c>
      <c r="V185" s="779">
        <v>0</v>
      </c>
    </row>
    <row r="186" spans="2:22" outlineLevel="1">
      <c r="B186" s="722" t="s">
        <v>441</v>
      </c>
      <c r="C186" s="702" t="str">
        <f>IF('R6a - Net Debt input'!D109 = "","",'R6a - Net Debt input'!D109)</f>
        <v/>
      </c>
      <c r="D186" s="702" t="str">
        <f>IF('R6a - Net Debt input'!E109 = "","",'R6a - Net Debt input'!E109)</f>
        <v/>
      </c>
      <c r="E186" s="715" t="str">
        <f>IF('R6a - Net Debt input'!F109 = "","",'R6a - Net Debt input'!F109)</f>
        <v/>
      </c>
      <c r="F186" s="716" t="str">
        <f>IF('R6a - Net Debt input'!G109 = "","",'R6a - Net Debt input'!G109)</f>
        <v/>
      </c>
      <c r="G186" s="715" t="str">
        <f>IF('R6a - Net Debt input'!H109 = "","",'R6a - Net Debt input'!H109)</f>
        <v/>
      </c>
      <c r="H186" s="716" t="str">
        <f>IF('R6a - Net Debt input'!I109 = "","",'R6a - Net Debt input'!I109)</f>
        <v/>
      </c>
      <c r="I186" s="706" t="str">
        <f>IF('R6a - Net Debt input'!J109 = "","",'R6a - Net Debt input'!J109)</f>
        <v/>
      </c>
      <c r="J186" s="130"/>
      <c r="K186" s="131"/>
      <c r="L186" s="132"/>
      <c r="M186" s="779">
        <v>0</v>
      </c>
      <c r="N186" s="779">
        <v>0</v>
      </c>
      <c r="O186" s="779">
        <v>0</v>
      </c>
      <c r="P186" s="779">
        <v>0</v>
      </c>
      <c r="Q186" s="779">
        <v>0</v>
      </c>
      <c r="R186" s="779">
        <v>0</v>
      </c>
      <c r="S186" s="779">
        <v>0</v>
      </c>
      <c r="T186" s="779">
        <v>0</v>
      </c>
      <c r="U186" s="779">
        <v>0</v>
      </c>
      <c r="V186" s="779">
        <v>0</v>
      </c>
    </row>
    <row r="187" spans="2:22" outlineLevel="1">
      <c r="B187" s="701" t="s">
        <v>442</v>
      </c>
      <c r="C187" s="702" t="str">
        <f>IF('R6a - Net Debt input'!D110 = "","",'R6a - Net Debt input'!D110)</f>
        <v/>
      </c>
      <c r="D187" s="702" t="str">
        <f>IF('R6a - Net Debt input'!E110 = "","",'R6a - Net Debt input'!E110)</f>
        <v/>
      </c>
      <c r="E187" s="715" t="str">
        <f>IF('R6a - Net Debt input'!F110 = "","",'R6a - Net Debt input'!F110)</f>
        <v/>
      </c>
      <c r="F187" s="716" t="str">
        <f>IF('R6a - Net Debt input'!G110 = "","",'R6a - Net Debt input'!G110)</f>
        <v/>
      </c>
      <c r="G187" s="715" t="str">
        <f>IF('R6a - Net Debt input'!H110 = "","",'R6a - Net Debt input'!H110)</f>
        <v/>
      </c>
      <c r="H187" s="716" t="str">
        <f>IF('R6a - Net Debt input'!I110 = "","",'R6a - Net Debt input'!I110)</f>
        <v/>
      </c>
      <c r="I187" s="706" t="str">
        <f>IF('R6a - Net Debt input'!J110 = "","",'R6a - Net Debt input'!J110)</f>
        <v/>
      </c>
      <c r="J187" s="130"/>
      <c r="K187" s="131"/>
      <c r="L187" s="132"/>
      <c r="M187" s="779">
        <v>0</v>
      </c>
      <c r="N187" s="779">
        <v>0</v>
      </c>
      <c r="O187" s="779">
        <v>0</v>
      </c>
      <c r="P187" s="779">
        <v>0</v>
      </c>
      <c r="Q187" s="779">
        <v>0</v>
      </c>
      <c r="R187" s="779">
        <v>0</v>
      </c>
      <c r="S187" s="779">
        <v>0</v>
      </c>
      <c r="T187" s="779">
        <v>0</v>
      </c>
      <c r="U187" s="779">
        <v>0</v>
      </c>
      <c r="V187" s="779">
        <v>0</v>
      </c>
    </row>
    <row r="188" spans="2:22" outlineLevel="1">
      <c r="C188" s="98"/>
      <c r="D188" s="98"/>
      <c r="E188" s="98"/>
      <c r="F188" s="98"/>
      <c r="L188" s="536" t="s">
        <v>309</v>
      </c>
      <c r="M188" s="780">
        <f>SUM(M179:M187)</f>
        <v>-3.2748884246612935</v>
      </c>
      <c r="N188" s="780">
        <f t="shared" ref="N188:V188" si="58">SUM(N179:N187)</f>
        <v>0</v>
      </c>
      <c r="O188" s="780">
        <f t="shared" si="58"/>
        <v>0</v>
      </c>
      <c r="P188" s="780">
        <f t="shared" si="58"/>
        <v>0</v>
      </c>
      <c r="Q188" s="780">
        <f t="shared" si="58"/>
        <v>0</v>
      </c>
      <c r="R188" s="780">
        <f t="shared" si="58"/>
        <v>0</v>
      </c>
      <c r="S188" s="780">
        <f t="shared" si="58"/>
        <v>0</v>
      </c>
      <c r="T188" s="780">
        <f t="shared" si="58"/>
        <v>0</v>
      </c>
      <c r="U188" s="780">
        <f t="shared" si="58"/>
        <v>0</v>
      </c>
      <c r="V188" s="780">
        <f t="shared" si="58"/>
        <v>0</v>
      </c>
    </row>
    <row r="189" spans="2:22" outlineLevel="1">
      <c r="C189" s="98"/>
      <c r="D189" s="98"/>
      <c r="E189" s="98"/>
      <c r="F189" s="98"/>
      <c r="L189" s="114"/>
      <c r="M189" s="170"/>
      <c r="N189" s="170"/>
      <c r="O189" s="170"/>
      <c r="P189" s="170"/>
      <c r="Q189" s="170"/>
      <c r="R189" s="170"/>
      <c r="S189" s="170"/>
      <c r="T189" s="170"/>
      <c r="U189" s="186"/>
      <c r="V189" s="170"/>
    </row>
    <row r="190" spans="2:22" ht="17.5" outlineLevel="1">
      <c r="C190" s="98"/>
      <c r="D190" s="166" t="s">
        <v>403</v>
      </c>
      <c r="E190" s="167"/>
      <c r="F190" s="167"/>
      <c r="G190" s="167"/>
      <c r="H190" s="167"/>
      <c r="I190" s="167"/>
      <c r="J190" s="167"/>
      <c r="K190" s="167"/>
      <c r="L190" s="193"/>
      <c r="M190" s="167"/>
      <c r="N190" s="167"/>
      <c r="O190" s="167"/>
      <c r="P190" s="167"/>
      <c r="Q190" s="167"/>
      <c r="R190" s="167"/>
      <c r="S190" s="167"/>
      <c r="T190" s="167"/>
      <c r="U190" s="180"/>
      <c r="V190" s="167"/>
    </row>
    <row r="191" spans="2:22" ht="17.5" outlineLevel="1">
      <c r="C191" s="98"/>
      <c r="D191" s="102"/>
      <c r="L191" s="114"/>
      <c r="U191" s="179"/>
    </row>
    <row r="192" spans="2:22" ht="40.5" outlineLevel="1">
      <c r="B192" s="697" t="s">
        <v>397</v>
      </c>
      <c r="C192" s="714" t="str">
        <f t="shared" ref="C192:I202" si="59">C177</f>
        <v>Issue date</v>
      </c>
      <c r="D192" s="714" t="str">
        <f t="shared" si="59"/>
        <v>Maturity date</v>
      </c>
      <c r="E192" s="714" t="str">
        <f t="shared" si="59"/>
        <v>Description</v>
      </c>
      <c r="F192" s="714" t="str">
        <f t="shared" si="59"/>
        <v>Loan type</v>
      </c>
      <c r="G192" s="714" t="str">
        <f t="shared" si="59"/>
        <v>Payment rank</v>
      </c>
      <c r="H192" s="714" t="str">
        <f t="shared" si="59"/>
        <v>Reference rate</v>
      </c>
      <c r="I192" s="714" t="str">
        <f t="shared" si="59"/>
        <v>Coupon rate / margin spread on reference rate</v>
      </c>
      <c r="L192" s="114"/>
      <c r="U192" s="179"/>
    </row>
    <row r="193" spans="2:30" outlineLevel="1">
      <c r="B193" s="697"/>
      <c r="C193" s="714" t="str">
        <f t="shared" si="59"/>
        <v>dd/mm/yyyy</v>
      </c>
      <c r="D193" s="714" t="str">
        <f t="shared" si="59"/>
        <v>dd/mm/yyyy</v>
      </c>
      <c r="E193" s="714" t="str">
        <f t="shared" si="59"/>
        <v/>
      </c>
      <c r="F193" s="714" t="str">
        <f t="shared" si="59"/>
        <v/>
      </c>
      <c r="G193" s="714" t="str">
        <f t="shared" si="59"/>
        <v/>
      </c>
      <c r="H193" s="714" t="str">
        <f t="shared" si="59"/>
        <v/>
      </c>
      <c r="I193" s="714" t="str">
        <f t="shared" si="59"/>
        <v xml:space="preserve">% </v>
      </c>
      <c r="L193" s="114"/>
      <c r="M193" s="707" t="s">
        <v>398</v>
      </c>
      <c r="N193" s="707" t="s">
        <v>398</v>
      </c>
      <c r="O193" s="707" t="s">
        <v>398</v>
      </c>
      <c r="P193" s="707" t="s">
        <v>398</v>
      </c>
      <c r="Q193" s="707" t="s">
        <v>398</v>
      </c>
      <c r="R193" s="707" t="s">
        <v>398</v>
      </c>
      <c r="S193" s="707" t="s">
        <v>398</v>
      </c>
      <c r="T193" s="707" t="s">
        <v>398</v>
      </c>
      <c r="U193" s="707" t="s">
        <v>398</v>
      </c>
      <c r="V193" s="707" t="s">
        <v>398</v>
      </c>
    </row>
    <row r="194" spans="2:30" outlineLevel="1">
      <c r="B194" s="701" t="s">
        <v>434</v>
      </c>
      <c r="C194" s="709" t="str">
        <f>C179</f>
        <v>On demand</v>
      </c>
      <c r="D194" s="709" t="str">
        <f t="shared" si="59"/>
        <v/>
      </c>
      <c r="E194" s="718" t="str">
        <f t="shared" si="59"/>
        <v/>
      </c>
      <c r="F194" s="719" t="str">
        <f t="shared" si="59"/>
        <v/>
      </c>
      <c r="G194" s="718" t="str">
        <f t="shared" si="59"/>
        <v/>
      </c>
      <c r="H194" s="719" t="str">
        <f t="shared" si="59"/>
        <v>SONIA</v>
      </c>
      <c r="I194" s="713">
        <f t="shared" si="59"/>
        <v>2.5000000000000001E-3</v>
      </c>
      <c r="J194" s="130"/>
      <c r="K194" s="131"/>
      <c r="L194" s="132"/>
      <c r="M194" s="779">
        <v>-3.2748884246612935</v>
      </c>
      <c r="N194" s="779">
        <v>0</v>
      </c>
      <c r="O194" s="779">
        <v>0</v>
      </c>
      <c r="P194" s="779">
        <v>0</v>
      </c>
      <c r="Q194" s="779">
        <v>0</v>
      </c>
      <c r="R194" s="779">
        <v>0</v>
      </c>
      <c r="S194" s="779">
        <v>0</v>
      </c>
      <c r="T194" s="779">
        <v>0</v>
      </c>
      <c r="U194" s="779">
        <v>0</v>
      </c>
      <c r="V194" s="779">
        <v>0</v>
      </c>
    </row>
    <row r="195" spans="2:30" outlineLevel="1">
      <c r="B195" s="722" t="s">
        <v>435</v>
      </c>
      <c r="C195" s="709" t="str">
        <f t="shared" si="59"/>
        <v/>
      </c>
      <c r="D195" s="709" t="str">
        <f t="shared" si="59"/>
        <v/>
      </c>
      <c r="E195" s="718" t="str">
        <f t="shared" si="59"/>
        <v/>
      </c>
      <c r="F195" s="719" t="str">
        <f t="shared" si="59"/>
        <v/>
      </c>
      <c r="G195" s="718" t="str">
        <f t="shared" si="59"/>
        <v/>
      </c>
      <c r="H195" s="719" t="str">
        <f t="shared" si="59"/>
        <v/>
      </c>
      <c r="I195" s="713" t="str">
        <f t="shared" si="59"/>
        <v/>
      </c>
      <c r="J195" s="130"/>
      <c r="K195" s="131"/>
      <c r="L195" s="132"/>
      <c r="M195" s="779">
        <v>0</v>
      </c>
      <c r="N195" s="779">
        <v>0</v>
      </c>
      <c r="O195" s="779">
        <v>0</v>
      </c>
      <c r="P195" s="779">
        <v>0</v>
      </c>
      <c r="Q195" s="779">
        <v>0</v>
      </c>
      <c r="R195" s="779">
        <v>0</v>
      </c>
      <c r="S195" s="779">
        <v>0</v>
      </c>
      <c r="T195" s="779">
        <v>0</v>
      </c>
      <c r="U195" s="779">
        <v>0</v>
      </c>
      <c r="V195" s="779">
        <v>0</v>
      </c>
    </row>
    <row r="196" spans="2:30" outlineLevel="1">
      <c r="B196" s="701" t="s">
        <v>436</v>
      </c>
      <c r="C196" s="709" t="str">
        <f t="shared" si="59"/>
        <v/>
      </c>
      <c r="D196" s="709" t="str">
        <f t="shared" si="59"/>
        <v/>
      </c>
      <c r="E196" s="718" t="str">
        <f t="shared" si="59"/>
        <v/>
      </c>
      <c r="F196" s="719" t="str">
        <f t="shared" si="59"/>
        <v/>
      </c>
      <c r="G196" s="718" t="str">
        <f t="shared" si="59"/>
        <v/>
      </c>
      <c r="H196" s="719" t="str">
        <f t="shared" si="59"/>
        <v/>
      </c>
      <c r="I196" s="713" t="str">
        <f t="shared" si="59"/>
        <v/>
      </c>
      <c r="J196" s="130"/>
      <c r="K196" s="131"/>
      <c r="L196" s="132"/>
      <c r="M196" s="779">
        <v>0</v>
      </c>
      <c r="N196" s="779">
        <v>0</v>
      </c>
      <c r="O196" s="779">
        <v>0</v>
      </c>
      <c r="P196" s="779">
        <v>0</v>
      </c>
      <c r="Q196" s="779">
        <v>0</v>
      </c>
      <c r="R196" s="779">
        <v>0</v>
      </c>
      <c r="S196" s="779">
        <v>0</v>
      </c>
      <c r="T196" s="779">
        <v>0</v>
      </c>
      <c r="U196" s="779">
        <v>0</v>
      </c>
      <c r="V196" s="779">
        <v>0</v>
      </c>
    </row>
    <row r="197" spans="2:30" outlineLevel="1">
      <c r="B197" s="722" t="s">
        <v>437</v>
      </c>
      <c r="C197" s="709" t="str">
        <f t="shared" si="59"/>
        <v/>
      </c>
      <c r="D197" s="709" t="str">
        <f t="shared" si="59"/>
        <v/>
      </c>
      <c r="E197" s="718" t="str">
        <f t="shared" si="59"/>
        <v/>
      </c>
      <c r="F197" s="719" t="str">
        <f t="shared" si="59"/>
        <v/>
      </c>
      <c r="G197" s="718" t="str">
        <f t="shared" si="59"/>
        <v/>
      </c>
      <c r="H197" s="719" t="str">
        <f t="shared" si="59"/>
        <v/>
      </c>
      <c r="I197" s="713" t="str">
        <f t="shared" si="59"/>
        <v/>
      </c>
      <c r="J197" s="130"/>
      <c r="K197" s="131"/>
      <c r="L197" s="132"/>
      <c r="M197" s="779">
        <v>0</v>
      </c>
      <c r="N197" s="779">
        <v>0</v>
      </c>
      <c r="O197" s="779">
        <v>0</v>
      </c>
      <c r="P197" s="779">
        <v>0</v>
      </c>
      <c r="Q197" s="779">
        <v>0</v>
      </c>
      <c r="R197" s="779">
        <v>0</v>
      </c>
      <c r="S197" s="779">
        <v>0</v>
      </c>
      <c r="T197" s="779">
        <v>0</v>
      </c>
      <c r="U197" s="779">
        <v>0</v>
      </c>
      <c r="V197" s="779">
        <v>0</v>
      </c>
    </row>
    <row r="198" spans="2:30" outlineLevel="1">
      <c r="B198" s="701" t="s">
        <v>438</v>
      </c>
      <c r="C198" s="709" t="str">
        <f t="shared" si="59"/>
        <v/>
      </c>
      <c r="D198" s="709" t="str">
        <f t="shared" si="59"/>
        <v/>
      </c>
      <c r="E198" s="718" t="str">
        <f t="shared" si="59"/>
        <v/>
      </c>
      <c r="F198" s="719" t="str">
        <f t="shared" si="59"/>
        <v/>
      </c>
      <c r="G198" s="718" t="str">
        <f t="shared" si="59"/>
        <v/>
      </c>
      <c r="H198" s="719" t="str">
        <f t="shared" si="59"/>
        <v/>
      </c>
      <c r="I198" s="713" t="str">
        <f t="shared" si="59"/>
        <v/>
      </c>
      <c r="J198" s="130"/>
      <c r="K198" s="131"/>
      <c r="L198" s="132"/>
      <c r="M198" s="779">
        <v>0</v>
      </c>
      <c r="N198" s="779">
        <v>0</v>
      </c>
      <c r="O198" s="779">
        <v>0</v>
      </c>
      <c r="P198" s="779">
        <v>0</v>
      </c>
      <c r="Q198" s="779">
        <v>0</v>
      </c>
      <c r="R198" s="779">
        <v>0</v>
      </c>
      <c r="S198" s="779">
        <v>0</v>
      </c>
      <c r="T198" s="779">
        <v>0</v>
      </c>
      <c r="U198" s="779">
        <v>0</v>
      </c>
      <c r="V198" s="779">
        <v>0</v>
      </c>
    </row>
    <row r="199" spans="2:30" outlineLevel="1">
      <c r="B199" s="722" t="s">
        <v>439</v>
      </c>
      <c r="C199" s="709" t="str">
        <f t="shared" si="59"/>
        <v/>
      </c>
      <c r="D199" s="709" t="str">
        <f t="shared" si="59"/>
        <v/>
      </c>
      <c r="E199" s="718" t="str">
        <f t="shared" si="59"/>
        <v/>
      </c>
      <c r="F199" s="719" t="str">
        <f t="shared" si="59"/>
        <v/>
      </c>
      <c r="G199" s="718" t="str">
        <f t="shared" si="59"/>
        <v/>
      </c>
      <c r="H199" s="719" t="str">
        <f t="shared" si="59"/>
        <v/>
      </c>
      <c r="I199" s="713" t="str">
        <f t="shared" si="59"/>
        <v/>
      </c>
      <c r="J199" s="130"/>
      <c r="K199" s="131"/>
      <c r="L199" s="132"/>
      <c r="M199" s="779">
        <v>0</v>
      </c>
      <c r="N199" s="779">
        <v>0</v>
      </c>
      <c r="O199" s="779">
        <v>0</v>
      </c>
      <c r="P199" s="779">
        <v>0</v>
      </c>
      <c r="Q199" s="779">
        <v>0</v>
      </c>
      <c r="R199" s="779">
        <v>0</v>
      </c>
      <c r="S199" s="779">
        <v>0</v>
      </c>
      <c r="T199" s="779">
        <v>0</v>
      </c>
      <c r="U199" s="779">
        <v>0</v>
      </c>
      <c r="V199" s="779">
        <v>0</v>
      </c>
    </row>
    <row r="200" spans="2:30" outlineLevel="1">
      <c r="B200" s="701" t="s">
        <v>440</v>
      </c>
      <c r="C200" s="709" t="str">
        <f t="shared" si="59"/>
        <v/>
      </c>
      <c r="D200" s="709" t="str">
        <f t="shared" si="59"/>
        <v/>
      </c>
      <c r="E200" s="718" t="str">
        <f t="shared" si="59"/>
        <v/>
      </c>
      <c r="F200" s="719" t="str">
        <f t="shared" si="59"/>
        <v/>
      </c>
      <c r="G200" s="718" t="str">
        <f t="shared" si="59"/>
        <v/>
      </c>
      <c r="H200" s="719" t="str">
        <f t="shared" si="59"/>
        <v/>
      </c>
      <c r="I200" s="713" t="str">
        <f t="shared" si="59"/>
        <v/>
      </c>
      <c r="J200" s="130"/>
      <c r="K200" s="131"/>
      <c r="L200" s="132"/>
      <c r="M200" s="779">
        <v>0</v>
      </c>
      <c r="N200" s="779">
        <v>0</v>
      </c>
      <c r="O200" s="779">
        <v>0</v>
      </c>
      <c r="P200" s="779">
        <v>0</v>
      </c>
      <c r="Q200" s="779">
        <v>0</v>
      </c>
      <c r="R200" s="779">
        <v>0</v>
      </c>
      <c r="S200" s="779">
        <v>0</v>
      </c>
      <c r="T200" s="779">
        <v>0</v>
      </c>
      <c r="U200" s="779">
        <v>0</v>
      </c>
      <c r="V200" s="779">
        <v>0</v>
      </c>
    </row>
    <row r="201" spans="2:30" outlineLevel="1">
      <c r="B201" s="722" t="s">
        <v>441</v>
      </c>
      <c r="C201" s="709" t="str">
        <f t="shared" si="59"/>
        <v/>
      </c>
      <c r="D201" s="709" t="str">
        <f t="shared" si="59"/>
        <v/>
      </c>
      <c r="E201" s="718" t="str">
        <f t="shared" si="59"/>
        <v/>
      </c>
      <c r="F201" s="719" t="str">
        <f t="shared" si="59"/>
        <v/>
      </c>
      <c r="G201" s="718" t="str">
        <f t="shared" si="59"/>
        <v/>
      </c>
      <c r="H201" s="719" t="str">
        <f t="shared" si="59"/>
        <v/>
      </c>
      <c r="I201" s="713" t="str">
        <f t="shared" si="59"/>
        <v/>
      </c>
      <c r="J201" s="130"/>
      <c r="K201" s="131"/>
      <c r="L201" s="132"/>
      <c r="M201" s="779">
        <v>0</v>
      </c>
      <c r="N201" s="779">
        <v>0</v>
      </c>
      <c r="O201" s="779">
        <v>0</v>
      </c>
      <c r="P201" s="779">
        <v>0</v>
      </c>
      <c r="Q201" s="779">
        <v>0</v>
      </c>
      <c r="R201" s="779">
        <v>0</v>
      </c>
      <c r="S201" s="779">
        <v>0</v>
      </c>
      <c r="T201" s="779">
        <v>0</v>
      </c>
      <c r="U201" s="779">
        <v>0</v>
      </c>
      <c r="V201" s="779">
        <v>0</v>
      </c>
    </row>
    <row r="202" spans="2:30" outlineLevel="1">
      <c r="B202" s="701" t="s">
        <v>442</v>
      </c>
      <c r="C202" s="709" t="str">
        <f t="shared" si="59"/>
        <v/>
      </c>
      <c r="D202" s="709" t="str">
        <f t="shared" si="59"/>
        <v/>
      </c>
      <c r="E202" s="718" t="str">
        <f t="shared" si="59"/>
        <v/>
      </c>
      <c r="F202" s="719" t="str">
        <f t="shared" si="59"/>
        <v/>
      </c>
      <c r="G202" s="718" t="str">
        <f t="shared" si="59"/>
        <v/>
      </c>
      <c r="H202" s="719" t="str">
        <f t="shared" si="59"/>
        <v/>
      </c>
      <c r="I202" s="713" t="str">
        <f t="shared" si="59"/>
        <v/>
      </c>
      <c r="J202" s="130"/>
      <c r="K202" s="131"/>
      <c r="L202" s="132"/>
      <c r="M202" s="779">
        <v>0</v>
      </c>
      <c r="N202" s="779">
        <v>0</v>
      </c>
      <c r="O202" s="779">
        <v>0</v>
      </c>
      <c r="P202" s="779">
        <v>0</v>
      </c>
      <c r="Q202" s="779">
        <v>0</v>
      </c>
      <c r="R202" s="779">
        <v>0</v>
      </c>
      <c r="S202" s="779">
        <v>0</v>
      </c>
      <c r="T202" s="779">
        <v>0</v>
      </c>
      <c r="U202" s="779">
        <v>0</v>
      </c>
      <c r="V202" s="779">
        <v>0</v>
      </c>
    </row>
    <row r="203" spans="2:30" outlineLevel="1">
      <c r="C203" s="98"/>
      <c r="D203" s="98"/>
      <c r="E203" s="98"/>
      <c r="F203" s="98"/>
      <c r="L203" s="536" t="s">
        <v>309</v>
      </c>
      <c r="M203" s="780">
        <f>SUM(M194:M202)</f>
        <v>-3.2748884246612935</v>
      </c>
      <c r="N203" s="780">
        <f t="shared" ref="N203:V203" si="60">SUM(N194:N202)</f>
        <v>0</v>
      </c>
      <c r="O203" s="780">
        <f t="shared" si="60"/>
        <v>0</v>
      </c>
      <c r="P203" s="780">
        <f t="shared" si="60"/>
        <v>0</v>
      </c>
      <c r="Q203" s="780">
        <f t="shared" si="60"/>
        <v>0</v>
      </c>
      <c r="R203" s="780">
        <f t="shared" si="60"/>
        <v>0</v>
      </c>
      <c r="S203" s="780">
        <f t="shared" si="60"/>
        <v>0</v>
      </c>
      <c r="T203" s="780">
        <f t="shared" si="60"/>
        <v>0</v>
      </c>
      <c r="U203" s="780">
        <f t="shared" si="60"/>
        <v>0</v>
      </c>
      <c r="V203" s="780">
        <f t="shared" si="60"/>
        <v>0</v>
      </c>
    </row>
    <row r="204" spans="2:30" outlineLevel="1">
      <c r="C204" s="98"/>
      <c r="D204" s="103"/>
      <c r="E204" s="103"/>
      <c r="F204" s="103"/>
      <c r="L204" s="192"/>
      <c r="M204" s="103"/>
      <c r="N204" s="103"/>
      <c r="O204" s="103"/>
      <c r="P204" s="103"/>
      <c r="Q204" s="103"/>
      <c r="R204" s="103"/>
      <c r="S204" s="103"/>
      <c r="T204" s="103"/>
      <c r="U204" s="181"/>
      <c r="V204" s="103"/>
      <c r="W204" s="103"/>
      <c r="X204" s="103"/>
      <c r="Y204" s="103"/>
      <c r="Z204" s="103"/>
      <c r="AA204" s="103"/>
      <c r="AB204" s="103"/>
      <c r="AC204" s="103"/>
      <c r="AD204" s="103"/>
    </row>
    <row r="205" spans="2:30">
      <c r="C205" s="98"/>
      <c r="L205" s="114"/>
      <c r="M205" s="104"/>
      <c r="N205" s="104"/>
      <c r="O205" s="104"/>
      <c r="P205" s="104"/>
      <c r="Q205" s="104"/>
      <c r="R205" s="104"/>
      <c r="S205" s="104"/>
      <c r="T205" s="104"/>
      <c r="U205" s="187"/>
      <c r="V205" s="104"/>
    </row>
    <row r="206" spans="2:30" ht="14">
      <c r="B206" s="156" t="s">
        <v>443</v>
      </c>
      <c r="C206" s="157" t="s">
        <v>444</v>
      </c>
      <c r="D206" s="157"/>
      <c r="E206" s="157"/>
      <c r="F206" s="157"/>
      <c r="G206" s="158"/>
      <c r="H206" s="158"/>
      <c r="I206" s="158"/>
      <c r="J206" s="158"/>
      <c r="K206" s="158"/>
      <c r="L206" s="156"/>
      <c r="M206" s="157"/>
      <c r="N206" s="157"/>
      <c r="O206" s="157"/>
      <c r="P206" s="157"/>
      <c r="Q206" s="157"/>
      <c r="R206" s="157"/>
      <c r="S206" s="157"/>
      <c r="T206" s="157"/>
      <c r="U206" s="183"/>
      <c r="V206" s="157"/>
    </row>
    <row r="207" spans="2:30" ht="14">
      <c r="B207" s="161"/>
      <c r="C207" s="162"/>
      <c r="D207" s="162"/>
      <c r="E207" s="162"/>
      <c r="F207" s="162"/>
      <c r="G207" s="163"/>
      <c r="H207" s="163"/>
      <c r="I207" s="163"/>
      <c r="J207" s="163"/>
      <c r="K207" s="163"/>
      <c r="L207" s="161"/>
      <c r="M207" s="162"/>
      <c r="N207" s="162"/>
      <c r="O207" s="162"/>
      <c r="P207" s="162"/>
      <c r="Q207" s="162"/>
      <c r="R207" s="162"/>
      <c r="S207" s="162"/>
      <c r="T207" s="162"/>
      <c r="U207" s="184"/>
      <c r="V207" s="162"/>
    </row>
    <row r="208" spans="2:30" ht="17.5" outlineLevel="1">
      <c r="B208" s="101"/>
      <c r="C208" s="98"/>
      <c r="D208" s="166" t="s">
        <v>396</v>
      </c>
      <c r="E208" s="168"/>
      <c r="F208" s="168"/>
      <c r="G208" s="167"/>
      <c r="H208" s="167"/>
      <c r="I208" s="167"/>
      <c r="J208" s="167"/>
      <c r="K208" s="167"/>
      <c r="L208" s="193"/>
      <c r="M208" s="168"/>
      <c r="N208" s="168"/>
      <c r="O208" s="168"/>
      <c r="P208" s="168"/>
      <c r="Q208" s="168"/>
      <c r="R208" s="168"/>
      <c r="S208" s="168"/>
      <c r="T208" s="168"/>
      <c r="U208" s="185"/>
      <c r="V208" s="168"/>
    </row>
    <row r="209" spans="2:23" ht="14">
      <c r="B209" s="161"/>
      <c r="C209" s="162"/>
      <c r="D209" s="162"/>
      <c r="E209" s="162"/>
      <c r="F209" s="162"/>
      <c r="G209" s="163"/>
      <c r="H209" s="163"/>
      <c r="I209" s="163"/>
      <c r="J209" s="163"/>
      <c r="K209" s="163"/>
      <c r="L209" s="161"/>
      <c r="M209" s="162"/>
      <c r="N209" s="162"/>
      <c r="O209" s="162"/>
      <c r="P209" s="162"/>
      <c r="Q209" s="162"/>
      <c r="R209" s="162"/>
      <c r="S209" s="162"/>
      <c r="T209" s="162"/>
      <c r="U209" s="184"/>
      <c r="V209" s="162"/>
    </row>
    <row r="210" spans="2:23" ht="49.5" customHeight="1" outlineLevel="1">
      <c r="B210" s="1076" t="s">
        <v>397</v>
      </c>
      <c r="C210" s="1077" t="s">
        <v>445</v>
      </c>
      <c r="D210" s="1077"/>
      <c r="E210" s="1077"/>
      <c r="F210" s="1077"/>
      <c r="G210" s="1077"/>
      <c r="H210" s="1077"/>
      <c r="I210" s="1077"/>
      <c r="L210" s="101"/>
      <c r="M210" s="723" t="s">
        <v>446</v>
      </c>
      <c r="N210" s="723" t="s">
        <v>446</v>
      </c>
      <c r="O210" s="723" t="s">
        <v>446</v>
      </c>
      <c r="P210" s="723" t="s">
        <v>446</v>
      </c>
      <c r="Q210" s="723" t="s">
        <v>446</v>
      </c>
      <c r="R210" s="723" t="s">
        <v>446</v>
      </c>
      <c r="S210" s="723" t="s">
        <v>446</v>
      </c>
      <c r="T210" s="723" t="s">
        <v>446</v>
      </c>
      <c r="U210" s="723" t="s">
        <v>446</v>
      </c>
      <c r="V210" s="723" t="s">
        <v>446</v>
      </c>
    </row>
    <row r="211" spans="2:23" outlineLevel="1">
      <c r="B211" s="1076"/>
      <c r="C211" s="1077"/>
      <c r="D211" s="1077"/>
      <c r="E211" s="1077"/>
      <c r="F211" s="1077"/>
      <c r="G211" s="1077"/>
      <c r="H211" s="1077"/>
      <c r="I211" s="1077"/>
      <c r="L211" s="101"/>
      <c r="M211" s="707" t="s">
        <v>398</v>
      </c>
      <c r="N211" s="707" t="s">
        <v>398</v>
      </c>
      <c r="O211" s="707" t="s">
        <v>398</v>
      </c>
      <c r="P211" s="707" t="s">
        <v>398</v>
      </c>
      <c r="Q211" s="707" t="s">
        <v>398</v>
      </c>
      <c r="R211" s="707" t="s">
        <v>398</v>
      </c>
      <c r="S211" s="707" t="s">
        <v>398</v>
      </c>
      <c r="T211" s="707" t="s">
        <v>398</v>
      </c>
      <c r="U211" s="707" t="s">
        <v>398</v>
      </c>
      <c r="V211" s="707" t="s">
        <v>398</v>
      </c>
    </row>
    <row r="212" spans="2:23" outlineLevel="1">
      <c r="B212" s="722" t="s">
        <v>447</v>
      </c>
      <c r="C212" s="1079" t="str">
        <f>IF('R6a - Net Debt input'!D117 = "","",'R6a - Net Debt input'!D117)</f>
        <v/>
      </c>
      <c r="D212" s="1080"/>
      <c r="E212" s="1080"/>
      <c r="F212" s="1080"/>
      <c r="G212" s="1080"/>
      <c r="H212" s="1080"/>
      <c r="I212" s="1081"/>
      <c r="J212" s="130"/>
      <c r="K212" s="131"/>
      <c r="L212" s="132"/>
      <c r="M212" s="779">
        <v>0</v>
      </c>
      <c r="N212" s="779">
        <v>0</v>
      </c>
      <c r="O212" s="779">
        <v>0</v>
      </c>
      <c r="P212" s="779">
        <v>0</v>
      </c>
      <c r="Q212" s="779">
        <v>0</v>
      </c>
      <c r="R212" s="779">
        <v>0</v>
      </c>
      <c r="S212" s="779">
        <v>0</v>
      </c>
      <c r="T212" s="779">
        <v>0</v>
      </c>
      <c r="U212" s="779">
        <v>0</v>
      </c>
      <c r="V212" s="779">
        <v>0</v>
      </c>
    </row>
    <row r="213" spans="2:23" outlineLevel="1">
      <c r="B213" s="722" t="s">
        <v>448</v>
      </c>
      <c r="C213" s="1079" t="str">
        <f>IF('R6a - Net Debt input'!D118 = "","",'R6a - Net Debt input'!D118)</f>
        <v/>
      </c>
      <c r="D213" s="1080"/>
      <c r="E213" s="1080"/>
      <c r="F213" s="1080"/>
      <c r="G213" s="1080"/>
      <c r="H213" s="1080"/>
      <c r="I213" s="1081"/>
      <c r="J213" s="130"/>
      <c r="K213" s="131"/>
      <c r="L213" s="132"/>
      <c r="M213" s="779">
        <v>0</v>
      </c>
      <c r="N213" s="779">
        <v>0</v>
      </c>
      <c r="O213" s="779">
        <v>0</v>
      </c>
      <c r="P213" s="779">
        <v>0</v>
      </c>
      <c r="Q213" s="779">
        <v>0</v>
      </c>
      <c r="R213" s="779">
        <v>0</v>
      </c>
      <c r="S213" s="779">
        <v>0</v>
      </c>
      <c r="T213" s="779">
        <v>0</v>
      </c>
      <c r="U213" s="779">
        <v>0</v>
      </c>
      <c r="V213" s="779">
        <v>0</v>
      </c>
    </row>
    <row r="214" spans="2:23" outlineLevel="1">
      <c r="B214" s="722" t="s">
        <v>449</v>
      </c>
      <c r="C214" s="1079" t="str">
        <f>IF('R6a - Net Debt input'!D119 = "","",'R6a - Net Debt input'!D119)</f>
        <v/>
      </c>
      <c r="D214" s="1080"/>
      <c r="E214" s="1080"/>
      <c r="F214" s="1080"/>
      <c r="G214" s="1080"/>
      <c r="H214" s="1080"/>
      <c r="I214" s="1081"/>
      <c r="J214" s="130"/>
      <c r="K214" s="131"/>
      <c r="L214" s="132"/>
      <c r="M214" s="779">
        <v>0</v>
      </c>
      <c r="N214" s="779">
        <v>0</v>
      </c>
      <c r="O214" s="779">
        <v>0</v>
      </c>
      <c r="P214" s="779">
        <v>0</v>
      </c>
      <c r="Q214" s="779">
        <v>0</v>
      </c>
      <c r="R214" s="779">
        <v>0</v>
      </c>
      <c r="S214" s="779">
        <v>0</v>
      </c>
      <c r="T214" s="779">
        <v>0</v>
      </c>
      <c r="U214" s="779">
        <v>0</v>
      </c>
      <c r="V214" s="779">
        <v>0</v>
      </c>
    </row>
    <row r="215" spans="2:23" outlineLevel="1">
      <c r="B215" s="722" t="s">
        <v>450</v>
      </c>
      <c r="C215" s="1079" t="str">
        <f>IF('R6a - Net Debt input'!D120 = "","",'R6a - Net Debt input'!D120)</f>
        <v/>
      </c>
      <c r="D215" s="1080"/>
      <c r="E215" s="1080"/>
      <c r="F215" s="1080"/>
      <c r="G215" s="1080"/>
      <c r="H215" s="1080"/>
      <c r="I215" s="1081"/>
      <c r="J215" s="130"/>
      <c r="K215" s="131"/>
      <c r="L215" s="132"/>
      <c r="M215" s="779">
        <v>0</v>
      </c>
      <c r="N215" s="779">
        <v>0</v>
      </c>
      <c r="O215" s="779">
        <v>0</v>
      </c>
      <c r="P215" s="779">
        <v>0</v>
      </c>
      <c r="Q215" s="779">
        <v>0</v>
      </c>
      <c r="R215" s="779">
        <v>0</v>
      </c>
      <c r="S215" s="779">
        <v>0</v>
      </c>
      <c r="T215" s="779">
        <v>0</v>
      </c>
      <c r="U215" s="779">
        <v>0</v>
      </c>
      <c r="V215" s="779">
        <v>0</v>
      </c>
    </row>
    <row r="216" spans="2:23" outlineLevel="1">
      <c r="B216" s="722" t="s">
        <v>451</v>
      </c>
      <c r="C216" s="1079" t="str">
        <f>IF('R6a - Net Debt input'!D121 = "","",'R6a - Net Debt input'!D121)</f>
        <v/>
      </c>
      <c r="D216" s="1080"/>
      <c r="E216" s="1080"/>
      <c r="F216" s="1080"/>
      <c r="G216" s="1080"/>
      <c r="H216" s="1080"/>
      <c r="I216" s="1081"/>
      <c r="J216" s="130"/>
      <c r="K216" s="131"/>
      <c r="L216" s="132"/>
      <c r="M216" s="779">
        <v>0</v>
      </c>
      <c r="N216" s="779">
        <v>0</v>
      </c>
      <c r="O216" s="779">
        <v>0</v>
      </c>
      <c r="P216" s="779">
        <v>0</v>
      </c>
      <c r="Q216" s="779">
        <v>0</v>
      </c>
      <c r="R216" s="779">
        <v>0</v>
      </c>
      <c r="S216" s="779">
        <v>0</v>
      </c>
      <c r="T216" s="779">
        <v>0</v>
      </c>
      <c r="U216" s="779">
        <v>0</v>
      </c>
      <c r="V216" s="779">
        <v>0</v>
      </c>
    </row>
    <row r="217" spans="2:23" outlineLevel="1">
      <c r="B217" s="722" t="s">
        <v>452</v>
      </c>
      <c r="C217" s="1079" t="str">
        <f>IF('R6a - Net Debt input'!D122 = "","",'R6a - Net Debt input'!D122)</f>
        <v/>
      </c>
      <c r="D217" s="1080"/>
      <c r="E217" s="1080"/>
      <c r="F217" s="1080"/>
      <c r="G217" s="1080"/>
      <c r="H217" s="1080"/>
      <c r="I217" s="1081"/>
      <c r="J217" s="130"/>
      <c r="K217" s="131"/>
      <c r="L217" s="132"/>
      <c r="M217" s="779">
        <v>0</v>
      </c>
      <c r="N217" s="779">
        <v>0</v>
      </c>
      <c r="O217" s="779">
        <v>0</v>
      </c>
      <c r="P217" s="779">
        <v>0</v>
      </c>
      <c r="Q217" s="779">
        <v>0</v>
      </c>
      <c r="R217" s="779">
        <v>0</v>
      </c>
      <c r="S217" s="779">
        <v>0</v>
      </c>
      <c r="T217" s="779">
        <v>0</v>
      </c>
      <c r="U217" s="779">
        <v>0</v>
      </c>
      <c r="V217" s="779">
        <v>0</v>
      </c>
    </row>
    <row r="218" spans="2:23" outlineLevel="1">
      <c r="B218" s="722" t="s">
        <v>453</v>
      </c>
      <c r="C218" s="1079" t="str">
        <f>IF('R6a - Net Debt input'!D123 = "","",'R6a - Net Debt input'!D123)</f>
        <v/>
      </c>
      <c r="D218" s="1080"/>
      <c r="E218" s="1080"/>
      <c r="F218" s="1080"/>
      <c r="G218" s="1080"/>
      <c r="H218" s="1080"/>
      <c r="I218" s="1081"/>
      <c r="J218" s="130"/>
      <c r="K218" s="131"/>
      <c r="L218" s="132"/>
      <c r="M218" s="779">
        <v>0</v>
      </c>
      <c r="N218" s="779">
        <v>0</v>
      </c>
      <c r="O218" s="779">
        <v>0</v>
      </c>
      <c r="P218" s="779">
        <v>0</v>
      </c>
      <c r="Q218" s="779">
        <v>0</v>
      </c>
      <c r="R218" s="779">
        <v>0</v>
      </c>
      <c r="S218" s="779">
        <v>0</v>
      </c>
      <c r="T218" s="779">
        <v>0</v>
      </c>
      <c r="U218" s="779">
        <v>0</v>
      </c>
      <c r="V218" s="779">
        <v>0</v>
      </c>
    </row>
    <row r="219" spans="2:23" outlineLevel="1">
      <c r="B219" s="722" t="s">
        <v>454</v>
      </c>
      <c r="C219" s="1079" t="str">
        <f>IF('R6a - Net Debt input'!D124 = "","",'R6a - Net Debt input'!D124)</f>
        <v/>
      </c>
      <c r="D219" s="1080"/>
      <c r="E219" s="1080"/>
      <c r="F219" s="1080"/>
      <c r="G219" s="1080"/>
      <c r="H219" s="1080"/>
      <c r="I219" s="1081"/>
      <c r="J219" s="130"/>
      <c r="K219" s="131"/>
      <c r="L219" s="132"/>
      <c r="M219" s="779">
        <v>0</v>
      </c>
      <c r="N219" s="779">
        <v>0</v>
      </c>
      <c r="O219" s="779">
        <v>0</v>
      </c>
      <c r="P219" s="779">
        <v>0</v>
      </c>
      <c r="Q219" s="779">
        <v>0</v>
      </c>
      <c r="R219" s="779">
        <v>0</v>
      </c>
      <c r="S219" s="779">
        <v>0</v>
      </c>
      <c r="T219" s="779">
        <v>0</v>
      </c>
      <c r="U219" s="779">
        <v>0</v>
      </c>
      <c r="V219" s="779">
        <v>0</v>
      </c>
    </row>
    <row r="220" spans="2:23" outlineLevel="1">
      <c r="B220" s="722" t="s">
        <v>455</v>
      </c>
      <c r="C220" s="1079" t="str">
        <f>IF('R6a - Net Debt input'!D125 = "","",'R6a - Net Debt input'!D125)</f>
        <v/>
      </c>
      <c r="D220" s="1080"/>
      <c r="E220" s="1080"/>
      <c r="F220" s="1080"/>
      <c r="G220" s="1080"/>
      <c r="H220" s="1080"/>
      <c r="I220" s="1081"/>
      <c r="J220" s="130"/>
      <c r="K220" s="131"/>
      <c r="L220" s="132"/>
      <c r="M220" s="779">
        <v>0</v>
      </c>
      <c r="N220" s="779">
        <v>0</v>
      </c>
      <c r="O220" s="779">
        <v>0</v>
      </c>
      <c r="P220" s="779">
        <v>0</v>
      </c>
      <c r="Q220" s="779">
        <v>0</v>
      </c>
      <c r="R220" s="779">
        <v>0</v>
      </c>
      <c r="S220" s="779">
        <v>0</v>
      </c>
      <c r="T220" s="779">
        <v>0</v>
      </c>
      <c r="U220" s="779">
        <v>0</v>
      </c>
      <c r="V220" s="779">
        <v>0</v>
      </c>
    </row>
    <row r="221" spans="2:23" outlineLevel="1">
      <c r="B221" s="98"/>
      <c r="C221" s="98"/>
      <c r="D221" s="98"/>
      <c r="E221" s="98"/>
      <c r="F221" s="98"/>
      <c r="L221" s="536" t="s">
        <v>309</v>
      </c>
      <c r="M221" s="780">
        <f t="shared" ref="M221:V221" si="61">SUM(M212:M220)</f>
        <v>0</v>
      </c>
      <c r="N221" s="780">
        <f t="shared" si="61"/>
        <v>0</v>
      </c>
      <c r="O221" s="780">
        <f t="shared" si="61"/>
        <v>0</v>
      </c>
      <c r="P221" s="780">
        <f t="shared" si="61"/>
        <v>0</v>
      </c>
      <c r="Q221" s="780">
        <f t="shared" si="61"/>
        <v>0</v>
      </c>
      <c r="R221" s="780">
        <f t="shared" si="61"/>
        <v>0</v>
      </c>
      <c r="S221" s="780">
        <f t="shared" si="61"/>
        <v>0</v>
      </c>
      <c r="T221" s="780">
        <f t="shared" si="61"/>
        <v>0</v>
      </c>
      <c r="U221" s="780">
        <f t="shared" si="61"/>
        <v>0</v>
      </c>
      <c r="V221" s="780">
        <f t="shared" si="61"/>
        <v>0</v>
      </c>
    </row>
    <row r="222" spans="2:23" outlineLevel="1">
      <c r="B222" s="98"/>
      <c r="C222" s="98"/>
      <c r="D222" s="98"/>
      <c r="E222" s="98"/>
      <c r="F222" s="98"/>
      <c r="G222" s="98"/>
      <c r="H222" s="98"/>
      <c r="I222" s="98"/>
      <c r="J222" s="98"/>
      <c r="K222" s="98"/>
      <c r="L222" s="98"/>
      <c r="M222" s="98"/>
      <c r="N222" s="98"/>
      <c r="O222" s="98"/>
      <c r="P222" s="98"/>
      <c r="Q222" s="98"/>
      <c r="R222" s="98"/>
      <c r="S222" s="98"/>
      <c r="T222" s="98"/>
      <c r="U222" s="98"/>
      <c r="V222" s="98"/>
      <c r="W222" s="98"/>
    </row>
    <row r="223" spans="2:23" ht="17.5" outlineLevel="1">
      <c r="C223" s="98"/>
      <c r="D223" s="166" t="s">
        <v>403</v>
      </c>
      <c r="E223" s="167"/>
      <c r="F223" s="167"/>
      <c r="G223" s="167"/>
      <c r="H223" s="167"/>
      <c r="I223" s="167"/>
      <c r="J223" s="167"/>
      <c r="K223" s="167"/>
      <c r="L223" s="193"/>
      <c r="M223" s="167"/>
      <c r="N223" s="167"/>
      <c r="O223" s="167"/>
      <c r="P223" s="167"/>
      <c r="Q223" s="167"/>
      <c r="R223" s="167"/>
      <c r="S223" s="167"/>
      <c r="T223" s="167"/>
      <c r="U223" s="180"/>
      <c r="V223" s="167"/>
    </row>
    <row r="224" spans="2:23" ht="14">
      <c r="B224" s="161"/>
      <c r="C224" s="162"/>
      <c r="D224" s="162"/>
      <c r="E224" s="162"/>
      <c r="F224" s="162"/>
      <c r="G224" s="163"/>
      <c r="H224" s="163"/>
      <c r="I224" s="163"/>
      <c r="J224" s="163"/>
      <c r="K224" s="163"/>
      <c r="L224" s="161"/>
      <c r="M224" s="162"/>
      <c r="N224" s="162"/>
      <c r="O224" s="162"/>
      <c r="P224" s="162"/>
      <c r="Q224" s="162"/>
      <c r="R224" s="162"/>
      <c r="S224" s="162"/>
      <c r="T224" s="162"/>
      <c r="U224" s="184"/>
      <c r="V224" s="162"/>
    </row>
    <row r="225" spans="2:22" ht="49.5" customHeight="1" outlineLevel="1">
      <c r="B225" s="1076" t="s">
        <v>397</v>
      </c>
      <c r="C225" s="1077" t="s">
        <v>445</v>
      </c>
      <c r="D225" s="1077"/>
      <c r="E225" s="1077"/>
      <c r="F225" s="1077"/>
      <c r="G225" s="1077"/>
      <c r="H225" s="1077"/>
      <c r="I225" s="1077"/>
      <c r="L225" s="101"/>
      <c r="M225" s="723" t="s">
        <v>446</v>
      </c>
      <c r="N225" s="723" t="s">
        <v>446</v>
      </c>
      <c r="O225" s="723" t="s">
        <v>446</v>
      </c>
      <c r="P225" s="723" t="s">
        <v>446</v>
      </c>
      <c r="Q225" s="723" t="s">
        <v>446</v>
      </c>
      <c r="R225" s="723" t="s">
        <v>446</v>
      </c>
      <c r="S225" s="723" t="s">
        <v>446</v>
      </c>
      <c r="T225" s="723" t="s">
        <v>446</v>
      </c>
      <c r="U225" s="723" t="s">
        <v>446</v>
      </c>
      <c r="V225" s="723" t="s">
        <v>446</v>
      </c>
    </row>
    <row r="226" spans="2:22" outlineLevel="1">
      <c r="B226" s="1076"/>
      <c r="C226" s="1077"/>
      <c r="D226" s="1077"/>
      <c r="E226" s="1077"/>
      <c r="F226" s="1077"/>
      <c r="G226" s="1077"/>
      <c r="H226" s="1077"/>
      <c r="I226" s="1077"/>
      <c r="L226" s="101"/>
      <c r="M226" s="707" t="s">
        <v>398</v>
      </c>
      <c r="N226" s="707" t="s">
        <v>398</v>
      </c>
      <c r="O226" s="707" t="s">
        <v>398</v>
      </c>
      <c r="P226" s="707" t="s">
        <v>398</v>
      </c>
      <c r="Q226" s="707" t="s">
        <v>398</v>
      </c>
      <c r="R226" s="707" t="s">
        <v>398</v>
      </c>
      <c r="S226" s="707" t="s">
        <v>398</v>
      </c>
      <c r="T226" s="707" t="s">
        <v>398</v>
      </c>
      <c r="U226" s="707" t="s">
        <v>398</v>
      </c>
      <c r="V226" s="707" t="s">
        <v>398</v>
      </c>
    </row>
    <row r="227" spans="2:22" outlineLevel="1">
      <c r="B227" s="722" t="s">
        <v>447</v>
      </c>
      <c r="C227" s="1078" t="str">
        <f>IF('R6a - Net Debt input'!D117 = "","",'R6a - Net Debt input'!D117)</f>
        <v/>
      </c>
      <c r="D227" s="1078"/>
      <c r="E227" s="1078"/>
      <c r="F227" s="1078"/>
      <c r="G227" s="1078"/>
      <c r="H227" s="1078"/>
      <c r="I227" s="1078"/>
      <c r="J227" s="130"/>
      <c r="K227" s="131"/>
      <c r="L227" s="132"/>
      <c r="M227" s="779">
        <v>0</v>
      </c>
      <c r="N227" s="779">
        <v>0</v>
      </c>
      <c r="O227" s="779">
        <v>0</v>
      </c>
      <c r="P227" s="779">
        <v>0</v>
      </c>
      <c r="Q227" s="779">
        <v>0</v>
      </c>
      <c r="R227" s="779">
        <v>0</v>
      </c>
      <c r="S227" s="779">
        <v>0</v>
      </c>
      <c r="T227" s="779">
        <v>0</v>
      </c>
      <c r="U227" s="779">
        <v>0</v>
      </c>
      <c r="V227" s="779">
        <v>0</v>
      </c>
    </row>
    <row r="228" spans="2:22" outlineLevel="1">
      <c r="B228" s="722" t="s">
        <v>448</v>
      </c>
      <c r="C228" s="1078" t="str">
        <f>IF('R6a - Net Debt input'!D118 = "","",'R6a - Net Debt input'!D118)</f>
        <v/>
      </c>
      <c r="D228" s="1078"/>
      <c r="E228" s="1078"/>
      <c r="F228" s="1078"/>
      <c r="G228" s="1078"/>
      <c r="H228" s="1078"/>
      <c r="I228" s="1078"/>
      <c r="J228" s="130"/>
      <c r="K228" s="131"/>
      <c r="L228" s="132"/>
      <c r="M228" s="779">
        <v>0</v>
      </c>
      <c r="N228" s="779">
        <v>0</v>
      </c>
      <c r="O228" s="779">
        <v>0</v>
      </c>
      <c r="P228" s="779">
        <v>0</v>
      </c>
      <c r="Q228" s="779">
        <v>0</v>
      </c>
      <c r="R228" s="779">
        <v>0</v>
      </c>
      <c r="S228" s="779">
        <v>0</v>
      </c>
      <c r="T228" s="779">
        <v>0</v>
      </c>
      <c r="U228" s="779">
        <v>0</v>
      </c>
      <c r="V228" s="779">
        <v>0</v>
      </c>
    </row>
    <row r="229" spans="2:22" outlineLevel="1">
      <c r="B229" s="722" t="s">
        <v>449</v>
      </c>
      <c r="C229" s="1078" t="str">
        <f>IF('R6a - Net Debt input'!D119 = "","",'R6a - Net Debt input'!D119)</f>
        <v/>
      </c>
      <c r="D229" s="1078"/>
      <c r="E229" s="1078"/>
      <c r="F229" s="1078"/>
      <c r="G229" s="1078"/>
      <c r="H229" s="1078"/>
      <c r="I229" s="1078"/>
      <c r="J229" s="130"/>
      <c r="K229" s="131"/>
      <c r="L229" s="132"/>
      <c r="M229" s="779">
        <v>0</v>
      </c>
      <c r="N229" s="779">
        <v>0</v>
      </c>
      <c r="O229" s="779">
        <v>0</v>
      </c>
      <c r="P229" s="779">
        <v>0</v>
      </c>
      <c r="Q229" s="779">
        <v>0</v>
      </c>
      <c r="R229" s="779">
        <v>0</v>
      </c>
      <c r="S229" s="779">
        <v>0</v>
      </c>
      <c r="T229" s="779">
        <v>0</v>
      </c>
      <c r="U229" s="779">
        <v>0</v>
      </c>
      <c r="V229" s="779">
        <v>0</v>
      </c>
    </row>
    <row r="230" spans="2:22" outlineLevel="1">
      <c r="B230" s="722" t="s">
        <v>450</v>
      </c>
      <c r="C230" s="1078" t="str">
        <f>IF('R6a - Net Debt input'!D120 = "","",'R6a - Net Debt input'!D120)</f>
        <v/>
      </c>
      <c r="D230" s="1078"/>
      <c r="E230" s="1078"/>
      <c r="F230" s="1078"/>
      <c r="G230" s="1078"/>
      <c r="H230" s="1078"/>
      <c r="I230" s="1078"/>
      <c r="J230" s="130"/>
      <c r="K230" s="131"/>
      <c r="L230" s="132"/>
      <c r="M230" s="779">
        <v>0</v>
      </c>
      <c r="N230" s="779">
        <v>0</v>
      </c>
      <c r="O230" s="779">
        <v>0</v>
      </c>
      <c r="P230" s="779">
        <v>0</v>
      </c>
      <c r="Q230" s="779">
        <v>0</v>
      </c>
      <c r="R230" s="779">
        <v>0</v>
      </c>
      <c r="S230" s="779">
        <v>0</v>
      </c>
      <c r="T230" s="779">
        <v>0</v>
      </c>
      <c r="U230" s="779">
        <v>0</v>
      </c>
      <c r="V230" s="779">
        <v>0</v>
      </c>
    </row>
    <row r="231" spans="2:22" outlineLevel="1">
      <c r="B231" s="722" t="s">
        <v>451</v>
      </c>
      <c r="C231" s="1078" t="str">
        <f>IF('R6a - Net Debt input'!D121 = "","",'R6a - Net Debt input'!D121)</f>
        <v/>
      </c>
      <c r="D231" s="1078"/>
      <c r="E231" s="1078"/>
      <c r="F231" s="1078"/>
      <c r="G231" s="1078"/>
      <c r="H231" s="1078"/>
      <c r="I231" s="1078"/>
      <c r="J231" s="130"/>
      <c r="K231" s="131"/>
      <c r="L231" s="132"/>
      <c r="M231" s="779">
        <v>0</v>
      </c>
      <c r="N231" s="779">
        <v>0</v>
      </c>
      <c r="O231" s="779">
        <v>0</v>
      </c>
      <c r="P231" s="779">
        <v>0</v>
      </c>
      <c r="Q231" s="779">
        <v>0</v>
      </c>
      <c r="R231" s="779">
        <v>0</v>
      </c>
      <c r="S231" s="779">
        <v>0</v>
      </c>
      <c r="T231" s="779">
        <v>0</v>
      </c>
      <c r="U231" s="779">
        <v>0</v>
      </c>
      <c r="V231" s="779">
        <v>0</v>
      </c>
    </row>
    <row r="232" spans="2:22" outlineLevel="1">
      <c r="B232" s="722" t="s">
        <v>452</v>
      </c>
      <c r="C232" s="1078" t="str">
        <f>IF('R6a - Net Debt input'!D122 = "","",'R6a - Net Debt input'!D122)</f>
        <v/>
      </c>
      <c r="D232" s="1078"/>
      <c r="E232" s="1078"/>
      <c r="F232" s="1078"/>
      <c r="G232" s="1078"/>
      <c r="H232" s="1078"/>
      <c r="I232" s="1078"/>
      <c r="J232" s="130"/>
      <c r="K232" s="131"/>
      <c r="L232" s="132"/>
      <c r="M232" s="779">
        <v>0</v>
      </c>
      <c r="N232" s="779">
        <v>0</v>
      </c>
      <c r="O232" s="779">
        <v>0</v>
      </c>
      <c r="P232" s="779">
        <v>0</v>
      </c>
      <c r="Q232" s="779">
        <v>0</v>
      </c>
      <c r="R232" s="779">
        <v>0</v>
      </c>
      <c r="S232" s="779">
        <v>0</v>
      </c>
      <c r="T232" s="779">
        <v>0</v>
      </c>
      <c r="U232" s="779">
        <v>0</v>
      </c>
      <c r="V232" s="779">
        <v>0</v>
      </c>
    </row>
    <row r="233" spans="2:22" outlineLevel="1">
      <c r="B233" s="722" t="s">
        <v>453</v>
      </c>
      <c r="C233" s="1078" t="str">
        <f>IF('R6a - Net Debt input'!D123 = "","",'R6a - Net Debt input'!D123)</f>
        <v/>
      </c>
      <c r="D233" s="1078"/>
      <c r="E233" s="1078"/>
      <c r="F233" s="1078"/>
      <c r="G233" s="1078"/>
      <c r="H233" s="1078"/>
      <c r="I233" s="1078"/>
      <c r="J233" s="130"/>
      <c r="K233" s="131"/>
      <c r="L233" s="132"/>
      <c r="M233" s="779">
        <v>0</v>
      </c>
      <c r="N233" s="779">
        <v>0</v>
      </c>
      <c r="O233" s="779">
        <v>0</v>
      </c>
      <c r="P233" s="779">
        <v>0</v>
      </c>
      <c r="Q233" s="779">
        <v>0</v>
      </c>
      <c r="R233" s="779">
        <v>0</v>
      </c>
      <c r="S233" s="779">
        <v>0</v>
      </c>
      <c r="T233" s="779">
        <v>0</v>
      </c>
      <c r="U233" s="779">
        <v>0</v>
      </c>
      <c r="V233" s="779">
        <v>0</v>
      </c>
    </row>
    <row r="234" spans="2:22" outlineLevel="1">
      <c r="B234" s="722" t="s">
        <v>454</v>
      </c>
      <c r="C234" s="1078" t="str">
        <f>IF('R6a - Net Debt input'!D124 = "","",'R6a - Net Debt input'!D124)</f>
        <v/>
      </c>
      <c r="D234" s="1078"/>
      <c r="E234" s="1078"/>
      <c r="F234" s="1078"/>
      <c r="G234" s="1078"/>
      <c r="H234" s="1078"/>
      <c r="I234" s="1078"/>
      <c r="J234" s="130"/>
      <c r="K234" s="131"/>
      <c r="L234" s="132"/>
      <c r="M234" s="779">
        <v>0</v>
      </c>
      <c r="N234" s="779">
        <v>0</v>
      </c>
      <c r="O234" s="779">
        <v>0</v>
      </c>
      <c r="P234" s="779">
        <v>0</v>
      </c>
      <c r="Q234" s="779">
        <v>0</v>
      </c>
      <c r="R234" s="779">
        <v>0</v>
      </c>
      <c r="S234" s="779">
        <v>0</v>
      </c>
      <c r="T234" s="779">
        <v>0</v>
      </c>
      <c r="U234" s="779">
        <v>0</v>
      </c>
      <c r="V234" s="779">
        <v>0</v>
      </c>
    </row>
    <row r="235" spans="2:22" outlineLevel="1">
      <c r="B235" s="722" t="s">
        <v>455</v>
      </c>
      <c r="C235" s="1078" t="str">
        <f>IF('R6a - Net Debt input'!D125 = "","",'R6a - Net Debt input'!D125)</f>
        <v/>
      </c>
      <c r="D235" s="1078"/>
      <c r="E235" s="1078"/>
      <c r="F235" s="1078"/>
      <c r="G235" s="1078"/>
      <c r="H235" s="1078"/>
      <c r="I235" s="1078"/>
      <c r="J235" s="130"/>
      <c r="K235" s="131"/>
      <c r="L235" s="132"/>
      <c r="M235" s="779">
        <v>0</v>
      </c>
      <c r="N235" s="779">
        <v>0</v>
      </c>
      <c r="O235" s="779">
        <v>0</v>
      </c>
      <c r="P235" s="779">
        <v>0</v>
      </c>
      <c r="Q235" s="779">
        <v>0</v>
      </c>
      <c r="R235" s="779">
        <v>0</v>
      </c>
      <c r="S235" s="779">
        <v>0</v>
      </c>
      <c r="T235" s="779">
        <v>0</v>
      </c>
      <c r="U235" s="779">
        <v>0</v>
      </c>
      <c r="V235" s="779">
        <v>0</v>
      </c>
    </row>
    <row r="236" spans="2:22" outlineLevel="1">
      <c r="B236" s="98"/>
      <c r="C236" s="98"/>
      <c r="D236" s="98"/>
      <c r="E236" s="98"/>
      <c r="F236" s="98"/>
      <c r="L236" s="536" t="s">
        <v>309</v>
      </c>
      <c r="M236" s="780">
        <f t="shared" ref="M236:V236" si="62">SUM(M227:M235)</f>
        <v>0</v>
      </c>
      <c r="N236" s="780">
        <f t="shared" si="62"/>
        <v>0</v>
      </c>
      <c r="O236" s="780">
        <f t="shared" si="62"/>
        <v>0</v>
      </c>
      <c r="P236" s="780">
        <f t="shared" si="62"/>
        <v>0</v>
      </c>
      <c r="Q236" s="780">
        <f t="shared" si="62"/>
        <v>0</v>
      </c>
      <c r="R236" s="780">
        <f t="shared" si="62"/>
        <v>0</v>
      </c>
      <c r="S236" s="780">
        <f t="shared" si="62"/>
        <v>0</v>
      </c>
      <c r="T236" s="780">
        <f t="shared" si="62"/>
        <v>0</v>
      </c>
      <c r="U236" s="780">
        <f t="shared" si="62"/>
        <v>0</v>
      </c>
      <c r="V236" s="780">
        <f t="shared" si="62"/>
        <v>0</v>
      </c>
    </row>
    <row r="237" spans="2:22">
      <c r="D237" s="98"/>
      <c r="E237" s="98"/>
      <c r="F237" s="98"/>
      <c r="L237" s="98"/>
      <c r="M237" s="98"/>
      <c r="N237" s="98"/>
      <c r="O237" s="98"/>
      <c r="P237" s="98"/>
      <c r="Q237" s="98"/>
      <c r="R237" s="98"/>
      <c r="S237" s="98"/>
      <c r="T237" s="98"/>
      <c r="U237" s="182"/>
      <c r="V237" s="98"/>
    </row>
    <row r="238" spans="2:22" ht="14">
      <c r="B238" s="156" t="s">
        <v>456</v>
      </c>
      <c r="C238" s="157" t="s">
        <v>457</v>
      </c>
      <c r="D238" s="157"/>
      <c r="E238" s="157"/>
      <c r="F238" s="157"/>
      <c r="G238" s="158"/>
      <c r="H238" s="158"/>
      <c r="I238" s="158"/>
      <c r="J238" s="158"/>
      <c r="K238" s="158"/>
      <c r="L238" s="156"/>
      <c r="M238" s="157"/>
      <c r="N238" s="157"/>
      <c r="O238" s="157"/>
      <c r="P238" s="157"/>
      <c r="Q238" s="157"/>
      <c r="R238" s="157"/>
      <c r="S238" s="157"/>
      <c r="T238" s="157"/>
      <c r="U238" s="183"/>
      <c r="V238" s="157"/>
    </row>
    <row r="239" spans="2:22" ht="14">
      <c r="B239" s="161"/>
      <c r="C239" s="162"/>
      <c r="D239" s="162"/>
      <c r="E239" s="162"/>
      <c r="F239" s="162"/>
      <c r="G239" s="163"/>
      <c r="H239" s="163"/>
      <c r="I239" s="163"/>
      <c r="J239" s="163"/>
      <c r="K239" s="163"/>
      <c r="L239" s="161"/>
      <c r="M239" s="162"/>
      <c r="N239" s="162"/>
      <c r="O239" s="162"/>
      <c r="P239" s="162"/>
      <c r="Q239" s="162"/>
      <c r="R239" s="162"/>
      <c r="S239" s="162"/>
      <c r="T239" s="162"/>
      <c r="U239" s="184"/>
      <c r="V239" s="162"/>
    </row>
    <row r="240" spans="2:22" ht="17.5" outlineLevel="1">
      <c r="B240" s="101"/>
      <c r="C240" s="98"/>
      <c r="D240" s="166" t="s">
        <v>396</v>
      </c>
      <c r="E240" s="168"/>
      <c r="F240" s="168"/>
      <c r="G240" s="167"/>
      <c r="H240" s="167"/>
      <c r="I240" s="167"/>
      <c r="J240" s="167"/>
      <c r="K240" s="167"/>
      <c r="L240" s="193"/>
      <c r="M240" s="168"/>
      <c r="N240" s="168"/>
      <c r="O240" s="168"/>
      <c r="P240" s="168"/>
      <c r="Q240" s="168"/>
      <c r="R240" s="168"/>
      <c r="S240" s="168"/>
      <c r="T240" s="168"/>
      <c r="U240" s="185"/>
      <c r="V240" s="168"/>
    </row>
    <row r="241" spans="2:23" ht="14">
      <c r="B241" s="161"/>
      <c r="C241" s="162"/>
      <c r="D241" s="162"/>
      <c r="E241" s="162"/>
      <c r="F241" s="162"/>
      <c r="G241" s="163"/>
      <c r="H241" s="163"/>
      <c r="I241" s="163"/>
      <c r="J241" s="163"/>
      <c r="K241" s="163"/>
      <c r="L241" s="161"/>
      <c r="M241" s="162"/>
      <c r="N241" s="162"/>
      <c r="O241" s="162"/>
      <c r="P241" s="162"/>
      <c r="Q241" s="162"/>
      <c r="R241" s="162"/>
      <c r="S241" s="162"/>
      <c r="T241" s="162"/>
      <c r="U241" s="184"/>
      <c r="V241" s="162"/>
    </row>
    <row r="242" spans="2:23" ht="49.5" customHeight="1" outlineLevel="1">
      <c r="B242" s="1068" t="s">
        <v>397</v>
      </c>
      <c r="C242" s="1070" t="s">
        <v>445</v>
      </c>
      <c r="D242" s="1071"/>
      <c r="E242" s="1071"/>
      <c r="F242" s="1071"/>
      <c r="G242" s="1071"/>
      <c r="H242" s="1071"/>
      <c r="I242" s="1072"/>
      <c r="L242" s="101"/>
      <c r="M242" s="723" t="s">
        <v>446</v>
      </c>
      <c r="N242" s="723" t="s">
        <v>446</v>
      </c>
      <c r="O242" s="723" t="s">
        <v>446</v>
      </c>
      <c r="P242" s="723" t="s">
        <v>446</v>
      </c>
      <c r="Q242" s="723" t="s">
        <v>446</v>
      </c>
      <c r="R242" s="723" t="s">
        <v>446</v>
      </c>
      <c r="S242" s="723" t="s">
        <v>446</v>
      </c>
      <c r="T242" s="723" t="s">
        <v>446</v>
      </c>
      <c r="U242" s="723" t="s">
        <v>446</v>
      </c>
      <c r="V242" s="723" t="s">
        <v>446</v>
      </c>
    </row>
    <row r="243" spans="2:23" outlineLevel="1">
      <c r="B243" s="1069"/>
      <c r="C243" s="1073"/>
      <c r="D243" s="1074"/>
      <c r="E243" s="1074"/>
      <c r="F243" s="1074"/>
      <c r="G243" s="1074"/>
      <c r="H243" s="1074"/>
      <c r="I243" s="1075"/>
      <c r="L243" s="101"/>
      <c r="M243" s="707" t="s">
        <v>398</v>
      </c>
      <c r="N243" s="707" t="s">
        <v>398</v>
      </c>
      <c r="O243" s="707" t="s">
        <v>398</v>
      </c>
      <c r="P243" s="707" t="s">
        <v>398</v>
      </c>
      <c r="Q243" s="707" t="s">
        <v>398</v>
      </c>
      <c r="R243" s="707" t="s">
        <v>398</v>
      </c>
      <c r="S243" s="707" t="s">
        <v>398</v>
      </c>
      <c r="T243" s="707" t="s">
        <v>398</v>
      </c>
      <c r="U243" s="707" t="s">
        <v>398</v>
      </c>
      <c r="V243" s="707" t="s">
        <v>398</v>
      </c>
    </row>
    <row r="244" spans="2:23" outlineLevel="1">
      <c r="B244" s="203" t="s">
        <v>458</v>
      </c>
      <c r="C244" s="1078" t="str">
        <f>IF('R6a - Net Debt input'!D133 = "","",'R6a - Net Debt input'!D133)</f>
        <v/>
      </c>
      <c r="D244" s="1078"/>
      <c r="E244" s="1078"/>
      <c r="F244" s="1078"/>
      <c r="G244" s="1078"/>
      <c r="H244" s="1078"/>
      <c r="I244" s="1078"/>
      <c r="J244" s="130"/>
      <c r="K244" s="131"/>
      <c r="L244" s="132"/>
      <c r="M244" s="779">
        <v>0</v>
      </c>
      <c r="N244" s="779">
        <v>0</v>
      </c>
      <c r="O244" s="779">
        <v>0</v>
      </c>
      <c r="P244" s="779">
        <v>0</v>
      </c>
      <c r="Q244" s="779">
        <v>0</v>
      </c>
      <c r="R244" s="779">
        <v>0</v>
      </c>
      <c r="S244" s="779">
        <v>0</v>
      </c>
      <c r="T244" s="779">
        <v>0</v>
      </c>
      <c r="U244" s="779">
        <v>0</v>
      </c>
      <c r="V244" s="779">
        <v>0</v>
      </c>
    </row>
    <row r="245" spans="2:23" outlineLevel="1">
      <c r="B245" s="203" t="s">
        <v>459</v>
      </c>
      <c r="C245" s="1078" t="str">
        <f>IF('R6a - Net Debt input'!D134 = "","",'R6a - Net Debt input'!D134)</f>
        <v/>
      </c>
      <c r="D245" s="1078"/>
      <c r="E245" s="1078"/>
      <c r="F245" s="1078"/>
      <c r="G245" s="1078"/>
      <c r="H245" s="1078"/>
      <c r="I245" s="1078"/>
      <c r="J245" s="130"/>
      <c r="K245" s="131"/>
      <c r="L245" s="132"/>
      <c r="M245" s="779">
        <v>0</v>
      </c>
      <c r="N245" s="779">
        <v>0</v>
      </c>
      <c r="O245" s="779">
        <v>0</v>
      </c>
      <c r="P245" s="779">
        <v>0</v>
      </c>
      <c r="Q245" s="779">
        <v>0</v>
      </c>
      <c r="R245" s="779">
        <v>0</v>
      </c>
      <c r="S245" s="779">
        <v>0</v>
      </c>
      <c r="T245" s="779">
        <v>0</v>
      </c>
      <c r="U245" s="779">
        <v>0</v>
      </c>
      <c r="V245" s="779">
        <v>0</v>
      </c>
    </row>
    <row r="246" spans="2:23" outlineLevel="1">
      <c r="B246" s="203" t="s">
        <v>460</v>
      </c>
      <c r="C246" s="1078" t="str">
        <f>IF('R6a - Net Debt input'!D135 = "","",'R6a - Net Debt input'!D135)</f>
        <v/>
      </c>
      <c r="D246" s="1078"/>
      <c r="E246" s="1078"/>
      <c r="F246" s="1078"/>
      <c r="G246" s="1078"/>
      <c r="H246" s="1078"/>
      <c r="I246" s="1078"/>
      <c r="J246" s="130"/>
      <c r="K246" s="131"/>
      <c r="L246" s="132"/>
      <c r="M246" s="779">
        <v>0</v>
      </c>
      <c r="N246" s="779">
        <v>0</v>
      </c>
      <c r="O246" s="779">
        <v>0</v>
      </c>
      <c r="P246" s="779">
        <v>0</v>
      </c>
      <c r="Q246" s="779">
        <v>0</v>
      </c>
      <c r="R246" s="779">
        <v>0</v>
      </c>
      <c r="S246" s="779">
        <v>0</v>
      </c>
      <c r="T246" s="779">
        <v>0</v>
      </c>
      <c r="U246" s="779">
        <v>0</v>
      </c>
      <c r="V246" s="779">
        <v>0</v>
      </c>
    </row>
    <row r="247" spans="2:23" outlineLevel="1">
      <c r="B247" s="203" t="s">
        <v>461</v>
      </c>
      <c r="C247" s="1078" t="str">
        <f>IF('R6a - Net Debt input'!D136 = "","",'R6a - Net Debt input'!D136)</f>
        <v/>
      </c>
      <c r="D247" s="1078"/>
      <c r="E247" s="1078"/>
      <c r="F247" s="1078"/>
      <c r="G247" s="1078"/>
      <c r="H247" s="1078"/>
      <c r="I247" s="1078"/>
      <c r="J247" s="130"/>
      <c r="K247" s="131"/>
      <c r="L247" s="132"/>
      <c r="M247" s="779">
        <v>0</v>
      </c>
      <c r="N247" s="779">
        <v>0</v>
      </c>
      <c r="O247" s="779">
        <v>0</v>
      </c>
      <c r="P247" s="779">
        <v>0</v>
      </c>
      <c r="Q247" s="779">
        <v>0</v>
      </c>
      <c r="R247" s="779">
        <v>0</v>
      </c>
      <c r="S247" s="779">
        <v>0</v>
      </c>
      <c r="T247" s="779">
        <v>0</v>
      </c>
      <c r="U247" s="779">
        <v>0</v>
      </c>
      <c r="V247" s="779">
        <v>0</v>
      </c>
    </row>
    <row r="248" spans="2:23" outlineLevel="1">
      <c r="B248" s="203" t="s">
        <v>462</v>
      </c>
      <c r="C248" s="1078" t="str">
        <f>IF('R6a - Net Debt input'!D137 = "","",'R6a - Net Debt input'!D137)</f>
        <v/>
      </c>
      <c r="D248" s="1078"/>
      <c r="E248" s="1078"/>
      <c r="F248" s="1078"/>
      <c r="G248" s="1078"/>
      <c r="H248" s="1078"/>
      <c r="I248" s="1078"/>
      <c r="J248" s="130"/>
      <c r="K248" s="131"/>
      <c r="L248" s="132"/>
      <c r="M248" s="779">
        <v>0</v>
      </c>
      <c r="N248" s="779">
        <v>0</v>
      </c>
      <c r="O248" s="779">
        <v>0</v>
      </c>
      <c r="P248" s="779">
        <v>0</v>
      </c>
      <c r="Q248" s="779">
        <v>0</v>
      </c>
      <c r="R248" s="779">
        <v>0</v>
      </c>
      <c r="S248" s="779">
        <v>0</v>
      </c>
      <c r="T248" s="779">
        <v>0</v>
      </c>
      <c r="U248" s="779">
        <v>0</v>
      </c>
      <c r="V248" s="779">
        <v>0</v>
      </c>
    </row>
    <row r="249" spans="2:23" outlineLevel="1">
      <c r="B249" s="203" t="s">
        <v>463</v>
      </c>
      <c r="C249" s="1078" t="str">
        <f>IF('R6a - Net Debt input'!D138 = "","",'R6a - Net Debt input'!D138)</f>
        <v/>
      </c>
      <c r="D249" s="1078"/>
      <c r="E249" s="1078"/>
      <c r="F249" s="1078"/>
      <c r="G249" s="1078"/>
      <c r="H249" s="1078"/>
      <c r="I249" s="1078"/>
      <c r="J249" s="130"/>
      <c r="K249" s="131"/>
      <c r="L249" s="132"/>
      <c r="M249" s="779">
        <v>0</v>
      </c>
      <c r="N249" s="779">
        <v>0</v>
      </c>
      <c r="O249" s="779">
        <v>0</v>
      </c>
      <c r="P249" s="779">
        <v>0</v>
      </c>
      <c r="Q249" s="779">
        <v>0</v>
      </c>
      <c r="R249" s="779">
        <v>0</v>
      </c>
      <c r="S249" s="779">
        <v>0</v>
      </c>
      <c r="T249" s="779">
        <v>0</v>
      </c>
      <c r="U249" s="779">
        <v>0</v>
      </c>
      <c r="V249" s="779">
        <v>0</v>
      </c>
    </row>
    <row r="250" spans="2:23" outlineLevel="1">
      <c r="B250" s="203" t="s">
        <v>464</v>
      </c>
      <c r="C250" s="1078" t="str">
        <f>IF('R6a - Net Debt input'!D139 = "","",'R6a - Net Debt input'!D139)</f>
        <v/>
      </c>
      <c r="D250" s="1078"/>
      <c r="E250" s="1078"/>
      <c r="F250" s="1078"/>
      <c r="G250" s="1078"/>
      <c r="H250" s="1078"/>
      <c r="I250" s="1078"/>
      <c r="J250" s="130"/>
      <c r="K250" s="131"/>
      <c r="L250" s="132"/>
      <c r="M250" s="779">
        <v>0</v>
      </c>
      <c r="N250" s="779">
        <v>0</v>
      </c>
      <c r="O250" s="779">
        <v>0</v>
      </c>
      <c r="P250" s="779">
        <v>0</v>
      </c>
      <c r="Q250" s="779">
        <v>0</v>
      </c>
      <c r="R250" s="779">
        <v>0</v>
      </c>
      <c r="S250" s="779">
        <v>0</v>
      </c>
      <c r="T250" s="779">
        <v>0</v>
      </c>
      <c r="U250" s="779">
        <v>0</v>
      </c>
      <c r="V250" s="779">
        <v>0</v>
      </c>
    </row>
    <row r="251" spans="2:23" outlineLevel="1">
      <c r="B251" s="203" t="s">
        <v>465</v>
      </c>
      <c r="C251" s="1078" t="str">
        <f>IF('R6a - Net Debt input'!D140 = "","",'R6a - Net Debt input'!D140)</f>
        <v/>
      </c>
      <c r="D251" s="1078"/>
      <c r="E251" s="1078"/>
      <c r="F251" s="1078"/>
      <c r="G251" s="1078"/>
      <c r="H251" s="1078"/>
      <c r="I251" s="1078"/>
      <c r="J251" s="130"/>
      <c r="K251" s="131"/>
      <c r="L251" s="132"/>
      <c r="M251" s="779">
        <v>0</v>
      </c>
      <c r="N251" s="779">
        <v>0</v>
      </c>
      <c r="O251" s="779">
        <v>0</v>
      </c>
      <c r="P251" s="779">
        <v>0</v>
      </c>
      <c r="Q251" s="779">
        <v>0</v>
      </c>
      <c r="R251" s="779">
        <v>0</v>
      </c>
      <c r="S251" s="779">
        <v>0</v>
      </c>
      <c r="T251" s="779">
        <v>0</v>
      </c>
      <c r="U251" s="779">
        <v>0</v>
      </c>
      <c r="V251" s="779">
        <v>0</v>
      </c>
    </row>
    <row r="252" spans="2:23" outlineLevel="1">
      <c r="B252" s="203" t="s">
        <v>466</v>
      </c>
      <c r="C252" s="1078" t="str">
        <f>IF('R6a - Net Debt input'!D141 = "","",'R6a - Net Debt input'!D141)</f>
        <v/>
      </c>
      <c r="D252" s="1078"/>
      <c r="E252" s="1078"/>
      <c r="F252" s="1078"/>
      <c r="G252" s="1078"/>
      <c r="H252" s="1078"/>
      <c r="I252" s="1078"/>
      <c r="J252" s="130"/>
      <c r="K252" s="131"/>
      <c r="L252" s="132"/>
      <c r="M252" s="779">
        <v>0</v>
      </c>
      <c r="N252" s="779">
        <v>0</v>
      </c>
      <c r="O252" s="779">
        <v>0</v>
      </c>
      <c r="P252" s="779">
        <v>0</v>
      </c>
      <c r="Q252" s="779">
        <v>0</v>
      </c>
      <c r="R252" s="779">
        <v>0</v>
      </c>
      <c r="S252" s="779">
        <v>0</v>
      </c>
      <c r="T252" s="779">
        <v>0</v>
      </c>
      <c r="U252" s="779">
        <v>0</v>
      </c>
      <c r="V252" s="779">
        <v>0</v>
      </c>
    </row>
    <row r="253" spans="2:23" outlineLevel="1">
      <c r="B253" s="98"/>
      <c r="C253" s="98"/>
      <c r="D253" s="98"/>
      <c r="E253" s="98"/>
      <c r="F253" s="98"/>
      <c r="L253" s="536" t="s">
        <v>309</v>
      </c>
      <c r="M253" s="780">
        <f t="shared" ref="M253:V253" si="63">SUM(M244:M252)</f>
        <v>0</v>
      </c>
      <c r="N253" s="780">
        <f t="shared" si="63"/>
        <v>0</v>
      </c>
      <c r="O253" s="780">
        <f t="shared" si="63"/>
        <v>0</v>
      </c>
      <c r="P253" s="780">
        <f t="shared" si="63"/>
        <v>0</v>
      </c>
      <c r="Q253" s="780">
        <f t="shared" si="63"/>
        <v>0</v>
      </c>
      <c r="R253" s="780">
        <f t="shared" si="63"/>
        <v>0</v>
      </c>
      <c r="S253" s="780">
        <f t="shared" si="63"/>
        <v>0</v>
      </c>
      <c r="T253" s="780">
        <f t="shared" si="63"/>
        <v>0</v>
      </c>
      <c r="U253" s="780">
        <f t="shared" si="63"/>
        <v>0</v>
      </c>
      <c r="V253" s="780">
        <f t="shared" si="63"/>
        <v>0</v>
      </c>
    </row>
    <row r="254" spans="2:23" outlineLevel="1">
      <c r="B254" s="98"/>
      <c r="C254" s="98"/>
      <c r="D254" s="98"/>
      <c r="E254" s="98"/>
      <c r="F254" s="98"/>
      <c r="G254" s="98"/>
      <c r="H254" s="98"/>
      <c r="I254" s="98"/>
      <c r="J254" s="98"/>
      <c r="K254" s="98"/>
      <c r="L254" s="98"/>
      <c r="M254" s="98"/>
      <c r="N254" s="98"/>
      <c r="O254" s="98"/>
      <c r="P254" s="98"/>
      <c r="Q254" s="98"/>
      <c r="R254" s="98"/>
      <c r="S254" s="98"/>
      <c r="T254" s="98"/>
      <c r="U254" s="98"/>
      <c r="V254" s="98"/>
      <c r="W254" s="98"/>
    </row>
    <row r="255" spans="2:23" ht="17.5" outlineLevel="1">
      <c r="C255" s="98"/>
      <c r="D255" s="166" t="s">
        <v>403</v>
      </c>
      <c r="E255" s="167"/>
      <c r="F255" s="167"/>
      <c r="G255" s="167"/>
      <c r="H255" s="167"/>
      <c r="I255" s="167"/>
      <c r="J255" s="167"/>
      <c r="K255" s="167"/>
      <c r="L255" s="193"/>
      <c r="M255" s="167"/>
      <c r="N255" s="167"/>
      <c r="O255" s="167"/>
      <c r="P255" s="167"/>
      <c r="Q255" s="167"/>
      <c r="R255" s="167"/>
      <c r="S255" s="167"/>
      <c r="T255" s="167"/>
      <c r="U255" s="180"/>
      <c r="V255" s="167"/>
    </row>
    <row r="256" spans="2:23" ht="14">
      <c r="B256" s="161"/>
      <c r="C256" s="162"/>
      <c r="D256" s="162"/>
      <c r="E256" s="162"/>
      <c r="F256" s="162"/>
      <c r="G256" s="163"/>
      <c r="H256" s="163"/>
      <c r="I256" s="163"/>
      <c r="J256" s="163"/>
      <c r="K256" s="163"/>
      <c r="L256" s="161"/>
      <c r="M256" s="162"/>
      <c r="N256" s="162"/>
      <c r="O256" s="162"/>
      <c r="P256" s="162"/>
      <c r="Q256" s="162"/>
      <c r="R256" s="162"/>
      <c r="S256" s="162"/>
      <c r="T256" s="162"/>
      <c r="U256" s="184"/>
      <c r="V256" s="162"/>
    </row>
    <row r="257" spans="2:24" ht="49.5" customHeight="1" outlineLevel="1">
      <c r="B257" s="1068" t="s">
        <v>397</v>
      </c>
      <c r="C257" s="1070" t="s">
        <v>445</v>
      </c>
      <c r="D257" s="1071"/>
      <c r="E257" s="1071"/>
      <c r="F257" s="1071"/>
      <c r="G257" s="1071"/>
      <c r="H257" s="1071"/>
      <c r="I257" s="1072"/>
      <c r="L257" s="101"/>
      <c r="M257" s="723" t="s">
        <v>446</v>
      </c>
      <c r="N257" s="723" t="s">
        <v>446</v>
      </c>
      <c r="O257" s="723" t="s">
        <v>446</v>
      </c>
      <c r="P257" s="723" t="s">
        <v>446</v>
      </c>
      <c r="Q257" s="723" t="s">
        <v>446</v>
      </c>
      <c r="R257" s="723" t="s">
        <v>446</v>
      </c>
      <c r="S257" s="723" t="s">
        <v>446</v>
      </c>
      <c r="T257" s="723" t="s">
        <v>446</v>
      </c>
      <c r="U257" s="723" t="s">
        <v>446</v>
      </c>
      <c r="V257" s="723" t="s">
        <v>446</v>
      </c>
    </row>
    <row r="258" spans="2:24" outlineLevel="1">
      <c r="B258" s="1069"/>
      <c r="C258" s="1073"/>
      <c r="D258" s="1074"/>
      <c r="E258" s="1074"/>
      <c r="F258" s="1074"/>
      <c r="G258" s="1074"/>
      <c r="H258" s="1074"/>
      <c r="I258" s="1075"/>
      <c r="L258" s="101"/>
      <c r="M258" s="707" t="s">
        <v>398</v>
      </c>
      <c r="N258" s="707" t="s">
        <v>398</v>
      </c>
      <c r="O258" s="707" t="s">
        <v>398</v>
      </c>
      <c r="P258" s="707" t="s">
        <v>398</v>
      </c>
      <c r="Q258" s="707" t="s">
        <v>398</v>
      </c>
      <c r="R258" s="707" t="s">
        <v>398</v>
      </c>
      <c r="S258" s="707" t="s">
        <v>398</v>
      </c>
      <c r="T258" s="707" t="s">
        <v>398</v>
      </c>
      <c r="U258" s="707" t="s">
        <v>398</v>
      </c>
      <c r="V258" s="707" t="s">
        <v>398</v>
      </c>
    </row>
    <row r="259" spans="2:24" outlineLevel="1">
      <c r="B259" s="203" t="s">
        <v>458</v>
      </c>
      <c r="C259" s="1078" t="str">
        <f>IF('R6a - Net Debt input'!D133 = "","",'R6a - Net Debt input'!D133)</f>
        <v/>
      </c>
      <c r="D259" s="1078"/>
      <c r="E259" s="1078"/>
      <c r="F259" s="1078"/>
      <c r="G259" s="1078"/>
      <c r="H259" s="1078"/>
      <c r="I259" s="1078"/>
      <c r="J259" s="130"/>
      <c r="K259" s="131"/>
      <c r="L259" s="132"/>
      <c r="M259" s="779">
        <v>0</v>
      </c>
      <c r="N259" s="779">
        <v>0</v>
      </c>
      <c r="O259" s="779">
        <v>0</v>
      </c>
      <c r="P259" s="779">
        <v>0</v>
      </c>
      <c r="Q259" s="779">
        <v>0</v>
      </c>
      <c r="R259" s="779">
        <v>0</v>
      </c>
      <c r="S259" s="779">
        <v>0</v>
      </c>
      <c r="T259" s="779">
        <v>0</v>
      </c>
      <c r="U259" s="779">
        <v>0</v>
      </c>
      <c r="V259" s="779">
        <v>0</v>
      </c>
    </row>
    <row r="260" spans="2:24" outlineLevel="1">
      <c r="B260" s="203" t="s">
        <v>459</v>
      </c>
      <c r="C260" s="1078" t="str">
        <f>IF('R6a - Net Debt input'!D134 = "","",'R6a - Net Debt input'!D134)</f>
        <v/>
      </c>
      <c r="D260" s="1078"/>
      <c r="E260" s="1078"/>
      <c r="F260" s="1078"/>
      <c r="G260" s="1078"/>
      <c r="H260" s="1078"/>
      <c r="I260" s="1078"/>
      <c r="J260" s="130"/>
      <c r="K260" s="131"/>
      <c r="L260" s="132"/>
      <c r="M260" s="779">
        <v>0</v>
      </c>
      <c r="N260" s="779">
        <v>0</v>
      </c>
      <c r="O260" s="779">
        <v>0</v>
      </c>
      <c r="P260" s="779">
        <v>0</v>
      </c>
      <c r="Q260" s="779">
        <v>0</v>
      </c>
      <c r="R260" s="779">
        <v>0</v>
      </c>
      <c r="S260" s="779">
        <v>0</v>
      </c>
      <c r="T260" s="779">
        <v>0</v>
      </c>
      <c r="U260" s="779">
        <v>0</v>
      </c>
      <c r="V260" s="779">
        <v>0</v>
      </c>
    </row>
    <row r="261" spans="2:24" outlineLevel="1">
      <c r="B261" s="203" t="s">
        <v>460</v>
      </c>
      <c r="C261" s="1078" t="str">
        <f>IF('R6a - Net Debt input'!D135 = "","",'R6a - Net Debt input'!D135)</f>
        <v/>
      </c>
      <c r="D261" s="1078"/>
      <c r="E261" s="1078"/>
      <c r="F261" s="1078"/>
      <c r="G261" s="1078"/>
      <c r="H261" s="1078"/>
      <c r="I261" s="1078"/>
      <c r="J261" s="130"/>
      <c r="K261" s="131"/>
      <c r="L261" s="132"/>
      <c r="M261" s="779">
        <v>0</v>
      </c>
      <c r="N261" s="779">
        <v>0</v>
      </c>
      <c r="O261" s="779">
        <v>0</v>
      </c>
      <c r="P261" s="779">
        <v>0</v>
      </c>
      <c r="Q261" s="779">
        <v>0</v>
      </c>
      <c r="R261" s="779">
        <v>0</v>
      </c>
      <c r="S261" s="779">
        <v>0</v>
      </c>
      <c r="T261" s="779">
        <v>0</v>
      </c>
      <c r="U261" s="779">
        <v>0</v>
      </c>
      <c r="V261" s="779">
        <v>0</v>
      </c>
    </row>
    <row r="262" spans="2:24" outlineLevel="1">
      <c r="B262" s="203" t="s">
        <v>461</v>
      </c>
      <c r="C262" s="1078" t="str">
        <f>IF('R6a - Net Debt input'!D136 = "","",'R6a - Net Debt input'!D136)</f>
        <v/>
      </c>
      <c r="D262" s="1078"/>
      <c r="E262" s="1078"/>
      <c r="F262" s="1078"/>
      <c r="G262" s="1078"/>
      <c r="H262" s="1078"/>
      <c r="I262" s="1078"/>
      <c r="J262" s="130"/>
      <c r="K262" s="131"/>
      <c r="L262" s="132"/>
      <c r="M262" s="779">
        <v>0</v>
      </c>
      <c r="N262" s="779">
        <v>0</v>
      </c>
      <c r="O262" s="779">
        <v>0</v>
      </c>
      <c r="P262" s="779">
        <v>0</v>
      </c>
      <c r="Q262" s="779">
        <v>0</v>
      </c>
      <c r="R262" s="779">
        <v>0</v>
      </c>
      <c r="S262" s="779">
        <v>0</v>
      </c>
      <c r="T262" s="779">
        <v>0</v>
      </c>
      <c r="U262" s="779">
        <v>0</v>
      </c>
      <c r="V262" s="779">
        <v>0</v>
      </c>
    </row>
    <row r="263" spans="2:24" outlineLevel="1">
      <c r="B263" s="203" t="s">
        <v>462</v>
      </c>
      <c r="C263" s="1078" t="str">
        <f>IF('R6a - Net Debt input'!D137 = "","",'R6a - Net Debt input'!D137)</f>
        <v/>
      </c>
      <c r="D263" s="1078"/>
      <c r="E263" s="1078"/>
      <c r="F263" s="1078"/>
      <c r="G263" s="1078"/>
      <c r="H263" s="1078"/>
      <c r="I263" s="1078"/>
      <c r="J263" s="130"/>
      <c r="K263" s="131"/>
      <c r="L263" s="132"/>
      <c r="M263" s="779">
        <v>0</v>
      </c>
      <c r="N263" s="779">
        <v>0</v>
      </c>
      <c r="O263" s="779">
        <v>0</v>
      </c>
      <c r="P263" s="779">
        <v>0</v>
      </c>
      <c r="Q263" s="779">
        <v>0</v>
      </c>
      <c r="R263" s="779">
        <v>0</v>
      </c>
      <c r="S263" s="779">
        <v>0</v>
      </c>
      <c r="T263" s="779">
        <v>0</v>
      </c>
      <c r="U263" s="779">
        <v>0</v>
      </c>
      <c r="V263" s="779">
        <v>0</v>
      </c>
    </row>
    <row r="264" spans="2:24" outlineLevel="1">
      <c r="B264" s="203" t="s">
        <v>463</v>
      </c>
      <c r="C264" s="1078" t="str">
        <f>IF('R6a - Net Debt input'!D138 = "","",'R6a - Net Debt input'!D138)</f>
        <v/>
      </c>
      <c r="D264" s="1078"/>
      <c r="E264" s="1078"/>
      <c r="F264" s="1078"/>
      <c r="G264" s="1078"/>
      <c r="H264" s="1078"/>
      <c r="I264" s="1078"/>
      <c r="J264" s="130"/>
      <c r="K264" s="131"/>
      <c r="L264" s="132"/>
      <c r="M264" s="779">
        <v>0</v>
      </c>
      <c r="N264" s="779">
        <v>0</v>
      </c>
      <c r="O264" s="779">
        <v>0</v>
      </c>
      <c r="P264" s="779">
        <v>0</v>
      </c>
      <c r="Q264" s="779">
        <v>0</v>
      </c>
      <c r="R264" s="779">
        <v>0</v>
      </c>
      <c r="S264" s="779">
        <v>0</v>
      </c>
      <c r="T264" s="779">
        <v>0</v>
      </c>
      <c r="U264" s="779">
        <v>0</v>
      </c>
      <c r="V264" s="779">
        <v>0</v>
      </c>
    </row>
    <row r="265" spans="2:24" outlineLevel="1">
      <c r="B265" s="203" t="s">
        <v>464</v>
      </c>
      <c r="C265" s="1078" t="str">
        <f>IF('R6a - Net Debt input'!D139 = "","",'R6a - Net Debt input'!D139)</f>
        <v/>
      </c>
      <c r="D265" s="1078"/>
      <c r="E265" s="1078"/>
      <c r="F265" s="1078"/>
      <c r="G265" s="1078"/>
      <c r="H265" s="1078"/>
      <c r="I265" s="1078"/>
      <c r="J265" s="130"/>
      <c r="K265" s="131"/>
      <c r="L265" s="132"/>
      <c r="M265" s="779">
        <v>0</v>
      </c>
      <c r="N265" s="779">
        <v>0</v>
      </c>
      <c r="O265" s="779">
        <v>0</v>
      </c>
      <c r="P265" s="779">
        <v>0</v>
      </c>
      <c r="Q265" s="779">
        <v>0</v>
      </c>
      <c r="R265" s="779">
        <v>0</v>
      </c>
      <c r="S265" s="779">
        <v>0</v>
      </c>
      <c r="T265" s="779">
        <v>0</v>
      </c>
      <c r="U265" s="779">
        <v>0</v>
      </c>
      <c r="V265" s="779">
        <v>0</v>
      </c>
    </row>
    <row r="266" spans="2:24" outlineLevel="1">
      <c r="B266" s="203" t="s">
        <v>465</v>
      </c>
      <c r="C266" s="1078" t="str">
        <f>IF('R6a - Net Debt input'!D140 = "","",'R6a - Net Debt input'!D140)</f>
        <v/>
      </c>
      <c r="D266" s="1078"/>
      <c r="E266" s="1078"/>
      <c r="F266" s="1078"/>
      <c r="G266" s="1078"/>
      <c r="H266" s="1078"/>
      <c r="I266" s="1078"/>
      <c r="J266" s="130"/>
      <c r="K266" s="131"/>
      <c r="L266" s="132"/>
      <c r="M266" s="779">
        <v>0</v>
      </c>
      <c r="N266" s="779">
        <v>0</v>
      </c>
      <c r="O266" s="779">
        <v>0</v>
      </c>
      <c r="P266" s="779">
        <v>0</v>
      </c>
      <c r="Q266" s="779">
        <v>0</v>
      </c>
      <c r="R266" s="779">
        <v>0</v>
      </c>
      <c r="S266" s="779">
        <v>0</v>
      </c>
      <c r="T266" s="779">
        <v>0</v>
      </c>
      <c r="U266" s="779">
        <v>0</v>
      </c>
      <c r="V266" s="779">
        <v>0</v>
      </c>
    </row>
    <row r="267" spans="2:24" outlineLevel="1">
      <c r="B267" s="203" t="s">
        <v>466</v>
      </c>
      <c r="C267" s="1078" t="str">
        <f>IF('R6a - Net Debt input'!D141 = "","",'R6a - Net Debt input'!D141)</f>
        <v/>
      </c>
      <c r="D267" s="1078"/>
      <c r="E267" s="1078"/>
      <c r="F267" s="1078"/>
      <c r="G267" s="1078"/>
      <c r="H267" s="1078"/>
      <c r="I267" s="1078"/>
      <c r="J267" s="130"/>
      <c r="K267" s="131"/>
      <c r="L267" s="132"/>
      <c r="M267" s="779">
        <v>0</v>
      </c>
      <c r="N267" s="779">
        <v>0</v>
      </c>
      <c r="O267" s="779">
        <v>0</v>
      </c>
      <c r="P267" s="779">
        <v>0</v>
      </c>
      <c r="Q267" s="779">
        <v>0</v>
      </c>
      <c r="R267" s="779">
        <v>0</v>
      </c>
      <c r="S267" s="779">
        <v>0</v>
      </c>
      <c r="T267" s="779">
        <v>0</v>
      </c>
      <c r="U267" s="779">
        <v>0</v>
      </c>
      <c r="V267" s="779">
        <v>0</v>
      </c>
    </row>
    <row r="268" spans="2:24" outlineLevel="1">
      <c r="B268" s="98"/>
      <c r="C268" s="98"/>
      <c r="D268" s="98"/>
      <c r="E268" s="98"/>
      <c r="F268" s="98"/>
      <c r="L268" s="536" t="s">
        <v>309</v>
      </c>
      <c r="M268" s="780">
        <f t="shared" ref="M268:V268" si="64">SUM(M259:M267)</f>
        <v>0</v>
      </c>
      <c r="N268" s="780">
        <f t="shared" si="64"/>
        <v>0</v>
      </c>
      <c r="O268" s="780">
        <f t="shared" si="64"/>
        <v>0</v>
      </c>
      <c r="P268" s="780">
        <f t="shared" si="64"/>
        <v>0</v>
      </c>
      <c r="Q268" s="780">
        <f t="shared" si="64"/>
        <v>0</v>
      </c>
      <c r="R268" s="780">
        <f t="shared" si="64"/>
        <v>0</v>
      </c>
      <c r="S268" s="780">
        <f t="shared" si="64"/>
        <v>0</v>
      </c>
      <c r="T268" s="780">
        <f t="shared" si="64"/>
        <v>0</v>
      </c>
      <c r="U268" s="780">
        <f t="shared" si="64"/>
        <v>0</v>
      </c>
      <c r="V268" s="780">
        <f t="shared" si="64"/>
        <v>0</v>
      </c>
    </row>
    <row r="269" spans="2:24">
      <c r="D269" s="98"/>
      <c r="E269" s="98"/>
      <c r="F269" s="98"/>
      <c r="L269" s="98"/>
      <c r="M269" s="98"/>
      <c r="N269" s="98"/>
      <c r="O269" s="98"/>
      <c r="P269" s="98"/>
      <c r="Q269" s="98"/>
      <c r="R269" s="98"/>
      <c r="S269" s="98"/>
      <c r="T269" s="98"/>
      <c r="U269" s="182"/>
      <c r="V269" s="98"/>
    </row>
    <row r="270" spans="2:24" ht="14">
      <c r="B270" s="156" t="s">
        <v>467</v>
      </c>
      <c r="C270" s="157" t="s">
        <v>468</v>
      </c>
      <c r="D270" s="157"/>
      <c r="E270" s="157"/>
      <c r="F270" s="157"/>
      <c r="G270" s="158"/>
      <c r="H270" s="158"/>
      <c r="I270" s="158"/>
      <c r="J270" s="158"/>
      <c r="K270" s="158"/>
      <c r="L270" s="156"/>
      <c r="M270" s="157"/>
      <c r="N270" s="157"/>
      <c r="O270" s="157"/>
      <c r="P270" s="157"/>
      <c r="Q270" s="157"/>
      <c r="R270" s="157"/>
      <c r="S270" s="157"/>
      <c r="T270" s="157"/>
      <c r="U270" s="183"/>
      <c r="V270" s="157"/>
    </row>
    <row r="271" spans="2:24" outlineLevel="1">
      <c r="B271" s="117"/>
      <c r="X271" s="179"/>
    </row>
    <row r="272" spans="2:24" ht="17.5" outlineLevel="1">
      <c r="B272" s="101"/>
      <c r="C272" s="98"/>
      <c r="D272" s="166" t="s">
        <v>396</v>
      </c>
      <c r="E272" s="168"/>
      <c r="F272" s="168"/>
      <c r="G272" s="167"/>
      <c r="H272" s="167"/>
      <c r="I272" s="167"/>
      <c r="J272" s="167"/>
      <c r="K272" s="167"/>
      <c r="L272" s="193"/>
      <c r="M272" s="168"/>
      <c r="N272" s="168"/>
      <c r="O272" s="168"/>
      <c r="P272" s="168"/>
      <c r="Q272" s="168"/>
      <c r="R272" s="168"/>
      <c r="S272" s="168"/>
      <c r="T272" s="168"/>
      <c r="U272" s="185"/>
      <c r="V272" s="168"/>
    </row>
    <row r="273" spans="2:22" outlineLevel="1">
      <c r="B273" s="117"/>
    </row>
    <row r="274" spans="2:22" ht="31.5" customHeight="1" outlineLevel="1">
      <c r="B274" s="726"/>
      <c r="C274" s="536" t="s">
        <v>469</v>
      </c>
      <c r="D274" s="536" t="s">
        <v>470</v>
      </c>
      <c r="E274" s="1058" t="s">
        <v>471</v>
      </c>
      <c r="F274" s="1058"/>
      <c r="G274" s="1058"/>
      <c r="H274" s="1058"/>
      <c r="I274" s="1058"/>
      <c r="U274" s="179"/>
    </row>
    <row r="275" spans="2:22" s="250" customFormat="1" ht="45.75" customHeight="1" outlineLevel="1">
      <c r="B275" s="727" t="s">
        <v>397</v>
      </c>
      <c r="C275" s="728" t="s">
        <v>472</v>
      </c>
      <c r="D275" s="728" t="s">
        <v>472</v>
      </c>
      <c r="E275" s="1058"/>
      <c r="F275" s="1058"/>
      <c r="G275" s="1058"/>
      <c r="H275" s="1058"/>
      <c r="I275" s="1058"/>
      <c r="J275" s="99"/>
      <c r="K275" s="99"/>
      <c r="L275" s="99"/>
      <c r="M275" s="724" t="s">
        <v>398</v>
      </c>
      <c r="N275" s="724" t="s">
        <v>398</v>
      </c>
      <c r="O275" s="724" t="s">
        <v>398</v>
      </c>
      <c r="P275" s="724" t="s">
        <v>398</v>
      </c>
      <c r="Q275" s="724" t="s">
        <v>398</v>
      </c>
      <c r="R275" s="724" t="s">
        <v>398</v>
      </c>
      <c r="S275" s="724" t="s">
        <v>398</v>
      </c>
      <c r="T275" s="724" t="s">
        <v>398</v>
      </c>
      <c r="U275" s="724" t="s">
        <v>398</v>
      </c>
      <c r="V275" s="724" t="s">
        <v>398</v>
      </c>
    </row>
    <row r="276" spans="2:22" outlineLevel="1">
      <c r="B276" s="775" t="s">
        <v>473</v>
      </c>
      <c r="C276" s="702">
        <f>IF('R6a - Net Debt input'!D149 = "","",'R6a - Net Debt input'!D149)</f>
        <v>41257</v>
      </c>
      <c r="D276" s="702">
        <f>IF('R6a - Net Debt input'!E149 = "","",'R6a - Net Debt input'!E149)</f>
        <v>46742</v>
      </c>
      <c r="E276" s="1051" t="str">
        <f>IF('R6a - Net Debt input'!F149 = "","",'R6a - Net Debt input'!F149)</f>
        <v>15 YR SWAP: PAY 6M Libor +98 bp GBP 24.0 M RCV 3.05000% HKD 300.0 M MAT: 21-DEC-2027</v>
      </c>
      <c r="F276" s="1051"/>
      <c r="G276" s="1051"/>
      <c r="H276" s="1051"/>
      <c r="I276" s="1051"/>
      <c r="M276" s="779">
        <v>-0.1</v>
      </c>
      <c r="N276" s="779">
        <v>0</v>
      </c>
      <c r="O276" s="779">
        <v>0</v>
      </c>
      <c r="P276" s="779">
        <v>0</v>
      </c>
      <c r="Q276" s="779">
        <v>0</v>
      </c>
      <c r="R276" s="779">
        <v>0</v>
      </c>
      <c r="S276" s="779">
        <v>0</v>
      </c>
      <c r="T276" s="779">
        <v>0</v>
      </c>
      <c r="U276" s="779">
        <v>0</v>
      </c>
      <c r="V276" s="779">
        <v>0</v>
      </c>
    </row>
    <row r="277" spans="2:22" outlineLevel="1">
      <c r="B277" s="775" t="s">
        <v>474</v>
      </c>
      <c r="C277" s="771">
        <f>IF('R6a - Net Debt input'!D150 = "","",'R6a - Net Debt input'!D150)</f>
        <v>36189</v>
      </c>
      <c r="D277" s="771">
        <f>IF('R6a - Net Debt input'!E150 = "","",'R6a - Net Debt input'!E150)</f>
        <v>47200</v>
      </c>
      <c r="E277" s="1051" t="str">
        <f>IF('R6a - Net Debt input'!F150 = "","",'R6a - Net Debt input'!F150)</f>
        <v>30 YR SWAP: PAY 3M Libor +30 bp GBP 52.2 M RCV 4.31000% USD 85.8 M MAT: 23-MAR-2029</v>
      </c>
      <c r="F277" s="1051"/>
      <c r="G277" s="1051"/>
      <c r="H277" s="1051"/>
      <c r="I277" s="1051"/>
      <c r="M277" s="779">
        <v>-1.2</v>
      </c>
      <c r="N277" s="779">
        <v>0</v>
      </c>
      <c r="O277" s="779">
        <v>0</v>
      </c>
      <c r="P277" s="779">
        <v>0</v>
      </c>
      <c r="Q277" s="779">
        <v>0</v>
      </c>
      <c r="R277" s="779">
        <v>0</v>
      </c>
      <c r="S277" s="779">
        <v>0</v>
      </c>
      <c r="T277" s="779">
        <v>0</v>
      </c>
      <c r="U277" s="779">
        <v>0</v>
      </c>
      <c r="V277" s="779">
        <v>0</v>
      </c>
    </row>
    <row r="278" spans="2:22" outlineLevel="1">
      <c r="B278" s="775" t="s">
        <v>475</v>
      </c>
      <c r="C278" s="771">
        <f>IF('R6a - Net Debt input'!D151 = "","",'R6a - Net Debt input'!D151)</f>
        <v>36440</v>
      </c>
      <c r="D278" s="771">
        <f>IF('R6a - Net Debt input'!E151 = "","",'R6a - Net Debt input'!E151)</f>
        <v>47434</v>
      </c>
      <c r="E278" s="1051" t="str">
        <f>IF('R6a - Net Debt input'!F151 = "","",'R6a - Net Debt input'!F151)</f>
        <v>30 YR SWAP: PAY 6M Libor +39 bp GBP 11.2 M RCV 4.63000% USD 18.5 M MAT: 12-NOV-2029</v>
      </c>
      <c r="F278" s="1051"/>
      <c r="G278" s="1051"/>
      <c r="H278" s="1051"/>
      <c r="I278" s="1051"/>
      <c r="M278" s="779">
        <v>-0.4</v>
      </c>
      <c r="N278" s="779">
        <v>0</v>
      </c>
      <c r="O278" s="779">
        <v>0</v>
      </c>
      <c r="P278" s="779">
        <v>0</v>
      </c>
      <c r="Q278" s="779">
        <v>0</v>
      </c>
      <c r="R278" s="779">
        <v>0</v>
      </c>
      <c r="S278" s="779">
        <v>0</v>
      </c>
      <c r="T278" s="779">
        <v>0</v>
      </c>
      <c r="U278" s="779">
        <v>0</v>
      </c>
      <c r="V278" s="779">
        <v>0</v>
      </c>
    </row>
    <row r="279" spans="2:22" outlineLevel="1">
      <c r="B279" s="775" t="s">
        <v>476</v>
      </c>
      <c r="C279" s="771">
        <f>IF('R6a - Net Debt input'!D152 = "","",'R6a - Net Debt input'!D152)</f>
        <v>36440</v>
      </c>
      <c r="D279" s="771">
        <f>IF('R6a - Net Debt input'!E152 = "","",'R6a - Net Debt input'!E152)</f>
        <v>47434</v>
      </c>
      <c r="E279" s="1051" t="str">
        <f>IF('R6a - Net Debt input'!F152 = "","",'R6a - Net Debt input'!F152)</f>
        <v>30 YR SWAP: PAY 6M Libor +39 bp GBP 44.8 M RCV 4.63000% USD 74.2 M MAT: 12-NOV-2029</v>
      </c>
      <c r="F279" s="1051"/>
      <c r="G279" s="1051"/>
      <c r="H279" s="1051"/>
      <c r="I279" s="1051"/>
      <c r="M279" s="779">
        <v>-1.4</v>
      </c>
      <c r="N279" s="779">
        <v>0</v>
      </c>
      <c r="O279" s="779">
        <v>0</v>
      </c>
      <c r="P279" s="779">
        <v>0</v>
      </c>
      <c r="Q279" s="779">
        <v>0</v>
      </c>
      <c r="R279" s="779">
        <v>0</v>
      </c>
      <c r="S279" s="779">
        <v>0</v>
      </c>
      <c r="T279" s="779">
        <v>0</v>
      </c>
      <c r="U279" s="779">
        <v>0</v>
      </c>
      <c r="V279" s="779">
        <v>0</v>
      </c>
    </row>
    <row r="280" spans="2:22" outlineLevel="1">
      <c r="B280" s="775" t="s">
        <v>477</v>
      </c>
      <c r="C280" s="771">
        <f>IF('R6a - Net Debt input'!D153 = "","",'R6a - Net Debt input'!D153)</f>
        <v>39436</v>
      </c>
      <c r="D280" s="771">
        <f>IF('R6a - Net Debt input'!E153 = "","",'R6a - Net Debt input'!E153)</f>
        <v>44936</v>
      </c>
      <c r="E280" s="1051" t="str">
        <f>IF('R6a - Net Debt input'!F153 = "","",'R6a - Net Debt input'!F153)</f>
        <v>15 YR SWAP: PAY 6M Libor +70 bp GBP 13.3 M RCV 2.54000% JPY 3000.0 M MAT: 10-JAN-2023</v>
      </c>
      <c r="F280" s="1051"/>
      <c r="G280" s="1051"/>
      <c r="H280" s="1051"/>
      <c r="I280" s="1051"/>
      <c r="M280" s="779">
        <v>-0.1</v>
      </c>
      <c r="N280" s="779">
        <v>0</v>
      </c>
      <c r="O280" s="779">
        <v>0</v>
      </c>
      <c r="P280" s="779">
        <v>0</v>
      </c>
      <c r="Q280" s="779">
        <v>0</v>
      </c>
      <c r="R280" s="779">
        <v>0</v>
      </c>
      <c r="S280" s="779">
        <v>0</v>
      </c>
      <c r="T280" s="779">
        <v>0</v>
      </c>
      <c r="U280" s="779">
        <v>0</v>
      </c>
      <c r="V280" s="779">
        <v>0</v>
      </c>
    </row>
    <row r="281" spans="2:22" outlineLevel="1">
      <c r="B281" s="775" t="s">
        <v>988</v>
      </c>
      <c r="C281" s="771">
        <f>IF('R6a - Net Debt input'!D154 = "","",'R6a - Net Debt input'!D154)</f>
        <v>36398</v>
      </c>
      <c r="D281" s="771">
        <f>IF('R6a - Net Debt input'!E154 = "","",'R6a - Net Debt input'!E154)</f>
        <v>44504</v>
      </c>
      <c r="E281" s="1051" t="str">
        <f>IF('R6a - Net Debt input'!F154 = "","",'R6a - Net Debt input'!F154)</f>
        <v>21.5 YR SWAP: PAY 12.95946% GBP 45.7 M RCV 8.37863% USD 256.9 M MAT: 04-NOV-2021</v>
      </c>
      <c r="F281" s="1051"/>
      <c r="G281" s="1051"/>
      <c r="H281" s="1051"/>
      <c r="I281" s="1051"/>
      <c r="M281" s="779">
        <v>-14.3</v>
      </c>
      <c r="N281" s="779">
        <v>0</v>
      </c>
      <c r="O281" s="779">
        <v>0</v>
      </c>
      <c r="P281" s="779">
        <v>0</v>
      </c>
      <c r="Q281" s="779">
        <v>0</v>
      </c>
      <c r="R281" s="779">
        <v>0</v>
      </c>
      <c r="S281" s="779">
        <v>0</v>
      </c>
      <c r="T281" s="779">
        <v>0</v>
      </c>
      <c r="U281" s="779">
        <v>0</v>
      </c>
      <c r="V281" s="779">
        <v>0</v>
      </c>
    </row>
    <row r="282" spans="2:22" outlineLevel="1">
      <c r="B282" s="775" t="s">
        <v>989</v>
      </c>
      <c r="C282" s="771">
        <f>IF('R6a - Net Debt input'!D155 = "","",'R6a - Net Debt input'!D155)</f>
        <v>37337</v>
      </c>
      <c r="D282" s="771">
        <f>IF('R6a - Net Debt input'!E155 = "","",'R6a - Net Debt input'!E155)</f>
        <v>44504</v>
      </c>
      <c r="E282" s="1051" t="str">
        <f>IF('R6a - Net Debt input'!F155 = "","",'R6a - Net Debt input'!F155)</f>
        <v>19.5 YR SWAP: PAY 8.37863% USD 5.2 M RCV 12.95946% GBP 1.0 M MAT: 04-NOV-2021</v>
      </c>
      <c r="F282" s="1051"/>
      <c r="G282" s="1051"/>
      <c r="H282" s="1051"/>
      <c r="I282" s="1051"/>
      <c r="M282" s="779">
        <v>0.1</v>
      </c>
      <c r="N282" s="779">
        <v>0</v>
      </c>
      <c r="O282" s="779">
        <v>0</v>
      </c>
      <c r="P282" s="779">
        <v>0</v>
      </c>
      <c r="Q282" s="779">
        <v>0</v>
      </c>
      <c r="R282" s="779">
        <v>0</v>
      </c>
      <c r="S282" s="779">
        <v>0</v>
      </c>
      <c r="T282" s="779">
        <v>0</v>
      </c>
      <c r="U282" s="779">
        <v>0</v>
      </c>
      <c r="V282" s="779">
        <v>0</v>
      </c>
    </row>
    <row r="283" spans="2:22" outlineLevel="1">
      <c r="B283" s="775" t="s">
        <v>990</v>
      </c>
      <c r="C283" s="771">
        <f>IF('R6a - Net Debt input'!D156 = "","",'R6a - Net Debt input'!D156)</f>
        <v>44363</v>
      </c>
      <c r="D283" s="771">
        <f>IF('R6a - Net Debt input'!E156 = "","",'R6a - Net Debt input'!E156)</f>
        <v>46742</v>
      </c>
      <c r="E283" s="1051" t="str">
        <f>IF('R6a - Net Debt input'!F156 = "","",'R6a - Net Debt input'!F156)</f>
        <v>6.5 YR SWAP: PAY 1D SONIA +123 bp GBP 24.0 M RCV 3.05000% HKD 300.0 M MAT: 21-DEC-2027</v>
      </c>
      <c r="F283" s="1051"/>
      <c r="G283" s="1051"/>
      <c r="H283" s="1051"/>
      <c r="I283" s="1051"/>
      <c r="M283" s="779">
        <v>-0.4</v>
      </c>
      <c r="N283" s="779">
        <v>-0.23277635999999999</v>
      </c>
      <c r="O283" s="779">
        <v>-2.4968250000000001E-2</v>
      </c>
      <c r="P283" s="779">
        <v>-0.10766103</v>
      </c>
      <c r="Q283" s="779">
        <v>-0.17124855</v>
      </c>
      <c r="R283" s="779">
        <v>-0.20894772</v>
      </c>
      <c r="S283" s="779">
        <v>-0.17354849</v>
      </c>
      <c r="T283" s="779">
        <v>0</v>
      </c>
      <c r="U283" s="779">
        <v>0</v>
      </c>
      <c r="V283" s="779">
        <v>0</v>
      </c>
    </row>
    <row r="284" spans="2:22" outlineLevel="1">
      <c r="B284" s="775" t="s">
        <v>991</v>
      </c>
      <c r="C284" s="771">
        <f>IF('R6a - Net Debt input'!D157 = "","",'R6a - Net Debt input'!D157)</f>
        <v>44363</v>
      </c>
      <c r="D284" s="771">
        <f>IF('R6a - Net Debt input'!E157 = "","",'R6a - Net Debt input'!E157)</f>
        <v>44936</v>
      </c>
      <c r="E284" s="1051" t="str">
        <f>IF('R6a - Net Debt input'!F157 = "","",'R6a - Net Debt input'!F157)</f>
        <v>1.5 YR SWAP: PAY 1D SONIA +84 bp GBP 13.3 M RCV 2.54000% JPY 3000.0 M MAT: 10-JAN-2023</v>
      </c>
      <c r="F284" s="1051"/>
      <c r="G284" s="1051"/>
      <c r="H284" s="1051"/>
      <c r="I284" s="1051"/>
      <c r="M284" s="779">
        <v>-0.3</v>
      </c>
      <c r="N284" s="779">
        <v>-0.15970445999999999</v>
      </c>
      <c r="O284" s="779">
        <v>0</v>
      </c>
      <c r="P284" s="779">
        <v>0</v>
      </c>
      <c r="Q284" s="779">
        <v>0</v>
      </c>
      <c r="R284" s="779">
        <v>0</v>
      </c>
      <c r="S284" s="779">
        <v>0</v>
      </c>
      <c r="T284" s="779">
        <v>0</v>
      </c>
      <c r="U284" s="779">
        <v>0</v>
      </c>
      <c r="V284" s="779">
        <v>0</v>
      </c>
    </row>
    <row r="285" spans="2:22" outlineLevel="1">
      <c r="B285" s="775" t="s">
        <v>992</v>
      </c>
      <c r="C285" s="771">
        <f>IF('R6a - Net Debt input'!D158 = "","",'R6a - Net Debt input'!D158)</f>
        <v>44397</v>
      </c>
      <c r="D285" s="771">
        <f>IF('R6a - Net Debt input'!E158 = "","",'R6a - Net Debt input'!E158)</f>
        <v>47200</v>
      </c>
      <c r="E285" s="1051" t="str">
        <f>IF('R6a - Net Debt input'!F158 = "","",'R6a - Net Debt input'!F158)</f>
        <v>7.5 YR SWAP: PAY 1D SONIA +42 bp GBP 52.2 M RCV 4.31000% USD 85.8 M MAT: 23-MAR-2029</v>
      </c>
      <c r="F285" s="1051"/>
      <c r="G285" s="1051"/>
      <c r="H285" s="1051"/>
      <c r="I285" s="1051"/>
      <c r="M285" s="779">
        <v>-1.3</v>
      </c>
      <c r="N285" s="779">
        <v>-1.7943312900000001</v>
      </c>
      <c r="O285" s="779">
        <v>-1.3370438500000001</v>
      </c>
      <c r="P285" s="779">
        <v>-1.54848812</v>
      </c>
      <c r="Q285" s="779">
        <v>-1.6865850099999999</v>
      </c>
      <c r="R285" s="779">
        <v>-1.7612581899999999</v>
      </c>
      <c r="S285" s="779">
        <v>-1.83673478</v>
      </c>
      <c r="T285" s="779">
        <v>-1.8492747199999999</v>
      </c>
      <c r="U285" s="779">
        <v>0</v>
      </c>
      <c r="V285" s="779">
        <v>0</v>
      </c>
    </row>
    <row r="286" spans="2:22" outlineLevel="1">
      <c r="B286" s="775" t="s">
        <v>993</v>
      </c>
      <c r="C286" s="771">
        <f>IF('R6a - Net Debt input'!D159 = "","",'R6a - Net Debt input'!D159)</f>
        <v>44397</v>
      </c>
      <c r="D286" s="771">
        <f>IF('R6a - Net Debt input'!E159 = "","",'R6a - Net Debt input'!E159)</f>
        <v>47200</v>
      </c>
      <c r="E286" s="1051" t="str">
        <f>IF('R6a - Net Debt input'!F159 = "","",'R6a - Net Debt input'!F159)</f>
        <v>7.5 YR SWAP: PAY 0.00000% GBP 52.2 M RCV 0.00000% JPY 10000.0 M MAT: 23-MAR-2029</v>
      </c>
      <c r="F286" s="1051"/>
      <c r="G286" s="1051"/>
      <c r="H286" s="1051"/>
      <c r="I286" s="1051"/>
      <c r="M286" s="779">
        <v>0</v>
      </c>
      <c r="N286" s="779">
        <v>0</v>
      </c>
      <c r="O286" s="779">
        <v>0</v>
      </c>
      <c r="P286" s="779">
        <v>0</v>
      </c>
      <c r="Q286" s="779">
        <v>0</v>
      </c>
      <c r="R286" s="779">
        <v>0</v>
      </c>
      <c r="S286" s="779">
        <v>0</v>
      </c>
      <c r="T286" s="779">
        <v>0</v>
      </c>
      <c r="U286" s="779">
        <v>0</v>
      </c>
      <c r="V286" s="779">
        <v>0</v>
      </c>
    </row>
    <row r="287" spans="2:22" outlineLevel="1">
      <c r="B287" s="775" t="s">
        <v>994</v>
      </c>
      <c r="C287" s="771">
        <f>IF('R6a - Net Debt input'!D160 = "","",'R6a - Net Debt input'!D160)</f>
        <v>44397</v>
      </c>
      <c r="D287" s="771">
        <f>IF('R6a - Net Debt input'!E160 = "","",'R6a - Net Debt input'!E160)</f>
        <v>47200</v>
      </c>
      <c r="E287" s="1051" t="str">
        <f>IF('R6a - Net Debt input'!F160 = "","",'R6a - Net Debt input'!F160)</f>
        <v>7.5 YR SWAP: PAY 0.00000% USD 85.8 M RCV 0.00000% GBP 52.2 M MAT: 23-MAR-2029</v>
      </c>
      <c r="F287" s="1051"/>
      <c r="G287" s="1051"/>
      <c r="H287" s="1051"/>
      <c r="I287" s="1051"/>
      <c r="M287" s="779">
        <v>0</v>
      </c>
      <c r="N287" s="779">
        <v>0</v>
      </c>
      <c r="O287" s="779">
        <v>0</v>
      </c>
      <c r="P287" s="779">
        <v>0</v>
      </c>
      <c r="Q287" s="779">
        <v>0</v>
      </c>
      <c r="R287" s="779">
        <v>0</v>
      </c>
      <c r="S287" s="779">
        <v>0</v>
      </c>
      <c r="T287" s="779">
        <v>0</v>
      </c>
      <c r="U287" s="779">
        <v>0</v>
      </c>
      <c r="V287" s="779">
        <v>0</v>
      </c>
    </row>
    <row r="288" spans="2:22" outlineLevel="1">
      <c r="B288" s="775" t="s">
        <v>995</v>
      </c>
      <c r="C288" s="771">
        <f>IF('R6a - Net Debt input'!D161 = "","",'R6a - Net Debt input'!D161)</f>
        <v>44439</v>
      </c>
      <c r="D288" s="771">
        <f>IF('R6a - Net Debt input'!E161 = "","",'R6a - Net Debt input'!E161)</f>
        <v>47434</v>
      </c>
      <c r="E288" s="1051" t="str">
        <f>IF('R6a - Net Debt input'!F161 = "","",'R6a - Net Debt input'!F161)</f>
        <v>8 YR SWAP: PAY 1D SONIA +65 bp GBP 11.2 M RCV 4.63000% USD 18.5 M MAT: 12-NOV-2029</v>
      </c>
      <c r="F288" s="1051"/>
      <c r="G288" s="1051"/>
      <c r="H288" s="1051"/>
      <c r="I288" s="1051"/>
      <c r="M288" s="779">
        <v>-0.2</v>
      </c>
      <c r="N288" s="779">
        <v>-0.40588341999999999</v>
      </c>
      <c r="O288" s="779">
        <v>-0.31469730000000001</v>
      </c>
      <c r="P288" s="779">
        <v>-0.35345824999999997</v>
      </c>
      <c r="Q288" s="779">
        <v>-0.38334194999999999</v>
      </c>
      <c r="R288" s="779">
        <v>-0.40038877</v>
      </c>
      <c r="S288" s="779">
        <v>-0.41618411</v>
      </c>
      <c r="T288" s="779">
        <v>-0.42759645000000002</v>
      </c>
      <c r="U288" s="779">
        <v>-0.26363428000000005</v>
      </c>
      <c r="V288" s="779">
        <v>0</v>
      </c>
    </row>
    <row r="289" spans="2:22" outlineLevel="1">
      <c r="B289" s="775" t="s">
        <v>996</v>
      </c>
      <c r="C289" s="771">
        <f>IF('R6a - Net Debt input'!D162 = "","",'R6a - Net Debt input'!D162)</f>
        <v>44439</v>
      </c>
      <c r="D289" s="771">
        <f>IF('R6a - Net Debt input'!E162 = "","",'R6a - Net Debt input'!E162)</f>
        <v>47434</v>
      </c>
      <c r="E289" s="1051" t="str">
        <f>IF('R6a - Net Debt input'!F162 = "","",'R6a - Net Debt input'!F162)</f>
        <v>8 YR SWAP: PAY 0.00000% USD 18.5 M RCV 0.00000% GBP 11.2 M MAT: 12-NOV-2029</v>
      </c>
      <c r="F289" s="1051"/>
      <c r="G289" s="1051"/>
      <c r="H289" s="1051"/>
      <c r="I289" s="1051"/>
      <c r="M289" s="779">
        <v>0</v>
      </c>
      <c r="N289" s="779">
        <v>0</v>
      </c>
      <c r="O289" s="779">
        <v>0</v>
      </c>
      <c r="P289" s="779">
        <v>0</v>
      </c>
      <c r="Q289" s="779">
        <v>0</v>
      </c>
      <c r="R289" s="779">
        <v>0</v>
      </c>
      <c r="S289" s="779">
        <v>0</v>
      </c>
      <c r="T289" s="779">
        <v>0</v>
      </c>
      <c r="U289" s="779">
        <v>0</v>
      </c>
      <c r="V289" s="779">
        <v>0</v>
      </c>
    </row>
    <row r="290" spans="2:22" outlineLevel="1">
      <c r="B290" s="775" t="s">
        <v>997</v>
      </c>
      <c r="C290" s="771">
        <f>IF('R6a - Net Debt input'!D163 = "","",'R6a - Net Debt input'!D163)</f>
        <v>44439</v>
      </c>
      <c r="D290" s="771">
        <f>IF('R6a - Net Debt input'!E163 = "","",'R6a - Net Debt input'!E163)</f>
        <v>47434</v>
      </c>
      <c r="E290" s="1051" t="str">
        <f>IF('R6a - Net Debt input'!F163 = "","",'R6a - Net Debt input'!F163)</f>
        <v>8 YR SWAP: PAY 0.00000% GBP 11.2 M RCV 0.00000% JPY 2000.0 M MAT: 12-NOV-2029</v>
      </c>
      <c r="F290" s="1051"/>
      <c r="G290" s="1051"/>
      <c r="H290" s="1051"/>
      <c r="I290" s="1051"/>
      <c r="M290" s="779">
        <v>0</v>
      </c>
      <c r="N290" s="779">
        <v>0</v>
      </c>
      <c r="O290" s="779">
        <v>0</v>
      </c>
      <c r="P290" s="779">
        <v>0</v>
      </c>
      <c r="Q290" s="779">
        <v>0</v>
      </c>
      <c r="R290" s="779">
        <v>0</v>
      </c>
      <c r="S290" s="779">
        <v>0</v>
      </c>
      <c r="T290" s="779">
        <v>0</v>
      </c>
      <c r="U290" s="779">
        <v>0</v>
      </c>
      <c r="V290" s="779">
        <v>0</v>
      </c>
    </row>
    <row r="291" spans="2:22" outlineLevel="1">
      <c r="B291" s="775" t="s">
        <v>998</v>
      </c>
      <c r="C291" s="771">
        <f>IF('R6a - Net Debt input'!D164 = "","",'R6a - Net Debt input'!D164)</f>
        <v>44439</v>
      </c>
      <c r="D291" s="771">
        <f>IF('R6a - Net Debt input'!E164 = "","",'R6a - Net Debt input'!E164)</f>
        <v>47434</v>
      </c>
      <c r="E291" s="1051" t="str">
        <f>IF('R6a - Net Debt input'!F164 = "","",'R6a - Net Debt input'!F164)</f>
        <v>8 YR SWAP: PAY 1D SONIA +65 bp GBP 44.8 M RCV 4.63000% USD 74.2 M MAT: 12-NOV-2029</v>
      </c>
      <c r="F291" s="1051"/>
      <c r="G291" s="1051"/>
      <c r="H291" s="1051"/>
      <c r="I291" s="1051"/>
      <c r="M291" s="779">
        <v>-0.8</v>
      </c>
      <c r="N291" s="779">
        <v>-1.62350233</v>
      </c>
      <c r="O291" s="779">
        <v>-1.2587576999999999</v>
      </c>
      <c r="P291" s="779">
        <v>-1.4138015900000001</v>
      </c>
      <c r="Q291" s="779">
        <v>-1.5333363999999998</v>
      </c>
      <c r="R291" s="779">
        <v>-1.6015237099999999</v>
      </c>
      <c r="S291" s="779">
        <v>-1.6647049599999999</v>
      </c>
      <c r="T291" s="779">
        <v>-1.7103543999999999</v>
      </c>
      <c r="U291" s="779">
        <v>-1.05451761</v>
      </c>
      <c r="V291" s="779">
        <v>0</v>
      </c>
    </row>
    <row r="292" spans="2:22" outlineLevel="1">
      <c r="B292" s="775" t="s">
        <v>999</v>
      </c>
      <c r="C292" s="771">
        <f>IF('R6a - Net Debt input'!D165 = "","",'R6a - Net Debt input'!D165)</f>
        <v>44439</v>
      </c>
      <c r="D292" s="771">
        <f>IF('R6a - Net Debt input'!E165 = "","",'R6a - Net Debt input'!E165)</f>
        <v>47434</v>
      </c>
      <c r="E292" s="1051" t="str">
        <f>IF('R6a - Net Debt input'!F165 = "","",'R6a - Net Debt input'!F165)</f>
        <v>8 YR SWAP: PAY 0.00000% GBP 44.8 M RCV 0.00000% JPY 8000.0 M MAT: 12-NOV-2029</v>
      </c>
      <c r="F292" s="1051"/>
      <c r="G292" s="1051"/>
      <c r="H292" s="1051"/>
      <c r="I292" s="1051"/>
      <c r="M292" s="779">
        <v>0</v>
      </c>
      <c r="N292" s="779">
        <v>0</v>
      </c>
      <c r="O292" s="779">
        <v>0</v>
      </c>
      <c r="P292" s="779">
        <v>0</v>
      </c>
      <c r="Q292" s="779">
        <v>0</v>
      </c>
      <c r="R292" s="779">
        <v>0</v>
      </c>
      <c r="S292" s="779">
        <v>0</v>
      </c>
      <c r="T292" s="779">
        <v>0</v>
      </c>
      <c r="U292" s="779">
        <v>0</v>
      </c>
      <c r="V292" s="779">
        <v>0</v>
      </c>
    </row>
    <row r="293" spans="2:22" outlineLevel="1">
      <c r="B293" s="775" t="s">
        <v>1000</v>
      </c>
      <c r="C293" s="771">
        <f>IF('R6a - Net Debt input'!D166 = "","",'R6a - Net Debt input'!D166)</f>
        <v>44439</v>
      </c>
      <c r="D293" s="771">
        <f>IF('R6a - Net Debt input'!E166 = "","",'R6a - Net Debt input'!E166)</f>
        <v>47434</v>
      </c>
      <c r="E293" s="1051" t="str">
        <f>IF('R6a - Net Debt input'!F166 = "","",'R6a - Net Debt input'!F166)</f>
        <v>8 YR SWAP: PAY 0.00000% USD 74.2 M RCV 0.00000% GBP 44.8 M MAT: 12-NOV-2029</v>
      </c>
      <c r="F293" s="1051"/>
      <c r="G293" s="1051"/>
      <c r="H293" s="1051"/>
      <c r="I293" s="1051"/>
      <c r="M293" s="779">
        <v>0</v>
      </c>
      <c r="N293" s="779">
        <v>0</v>
      </c>
      <c r="O293" s="779">
        <v>0</v>
      </c>
      <c r="P293" s="779">
        <v>0</v>
      </c>
      <c r="Q293" s="779">
        <v>0</v>
      </c>
      <c r="R293" s="779">
        <v>0</v>
      </c>
      <c r="S293" s="779">
        <v>0</v>
      </c>
      <c r="T293" s="779">
        <v>0</v>
      </c>
      <c r="U293" s="779">
        <v>0</v>
      </c>
      <c r="V293" s="779">
        <v>0</v>
      </c>
    </row>
    <row r="294" spans="2:22" outlineLevel="1">
      <c r="B294" s="730" t="s">
        <v>478</v>
      </c>
      <c r="C294" s="1056" t="s">
        <v>479</v>
      </c>
      <c r="D294" s="1056"/>
      <c r="E294" s="1056"/>
      <c r="F294" s="1056"/>
      <c r="G294" s="1056"/>
      <c r="H294" s="1056"/>
      <c r="I294" s="1056"/>
      <c r="M294" s="779">
        <v>0</v>
      </c>
      <c r="N294" s="779">
        <v>0</v>
      </c>
      <c r="O294" s="779">
        <v>0</v>
      </c>
      <c r="P294" s="779">
        <v>0</v>
      </c>
      <c r="Q294" s="779">
        <v>0</v>
      </c>
      <c r="R294" s="779">
        <v>0</v>
      </c>
      <c r="S294" s="779">
        <v>0</v>
      </c>
      <c r="T294" s="779">
        <v>0</v>
      </c>
      <c r="U294" s="779">
        <v>0</v>
      </c>
      <c r="V294" s="779">
        <v>0</v>
      </c>
    </row>
    <row r="295" spans="2:22">
      <c r="B295" s="117"/>
      <c r="E295" s="117"/>
      <c r="F295" s="117"/>
      <c r="G295" s="117"/>
      <c r="H295" s="117"/>
      <c r="L295" s="537" t="s">
        <v>480</v>
      </c>
      <c r="M295" s="780">
        <f t="shared" ref="M295:V295" si="65">SUM(M276:M294)</f>
        <v>-20.399999999999999</v>
      </c>
      <c r="N295" s="780">
        <f t="shared" si="65"/>
        <v>-4.2161978599999994</v>
      </c>
      <c r="O295" s="780">
        <f t="shared" si="65"/>
        <v>-2.9354670999999999</v>
      </c>
      <c r="P295" s="780">
        <f t="shared" si="65"/>
        <v>-3.4234089900000004</v>
      </c>
      <c r="Q295" s="780">
        <f t="shared" si="65"/>
        <v>-3.7745119100000002</v>
      </c>
      <c r="R295" s="780">
        <f t="shared" si="65"/>
        <v>-3.9721183899999999</v>
      </c>
      <c r="S295" s="780">
        <f t="shared" si="65"/>
        <v>-4.09117234</v>
      </c>
      <c r="T295" s="780">
        <f t="shared" si="65"/>
        <v>-3.9872255699999997</v>
      </c>
      <c r="U295" s="780">
        <f t="shared" si="65"/>
        <v>-1.31815189</v>
      </c>
      <c r="V295" s="780">
        <f t="shared" si="65"/>
        <v>0</v>
      </c>
    </row>
    <row r="296" spans="2:22">
      <c r="B296" s="117"/>
    </row>
    <row r="297" spans="2:22" ht="17.5" outlineLevel="1">
      <c r="C297" s="98"/>
      <c r="D297" s="166" t="s">
        <v>403</v>
      </c>
      <c r="E297" s="167"/>
      <c r="F297" s="167"/>
      <c r="G297" s="167"/>
      <c r="H297" s="167"/>
      <c r="I297" s="167"/>
      <c r="J297" s="167"/>
      <c r="K297" s="167"/>
      <c r="L297" s="193"/>
      <c r="M297" s="167"/>
      <c r="N297" s="167"/>
      <c r="O297" s="167"/>
      <c r="P297" s="167"/>
      <c r="Q297" s="167"/>
      <c r="R297" s="167"/>
      <c r="S297" s="167"/>
      <c r="T297" s="167"/>
      <c r="U297" s="180"/>
      <c r="V297" s="167"/>
    </row>
    <row r="298" spans="2:22">
      <c r="B298" s="117"/>
      <c r="E298" s="117"/>
      <c r="F298" s="117"/>
      <c r="G298" s="117"/>
      <c r="H298" s="117"/>
    </row>
    <row r="299" spans="2:22" ht="31.5" customHeight="1" outlineLevel="1">
      <c r="B299" s="726"/>
      <c r="C299" s="536" t="s">
        <v>469</v>
      </c>
      <c r="D299" s="536" t="s">
        <v>470</v>
      </c>
      <c r="E299" s="1058" t="s">
        <v>471</v>
      </c>
      <c r="F299" s="1058"/>
      <c r="G299" s="1058"/>
      <c r="H299" s="1058"/>
      <c r="I299" s="1058"/>
      <c r="U299" s="179"/>
    </row>
    <row r="300" spans="2:22" s="250" customFormat="1" ht="45.75" customHeight="1" outlineLevel="1">
      <c r="B300" s="727" t="s">
        <v>397</v>
      </c>
      <c r="C300" s="728" t="s">
        <v>472</v>
      </c>
      <c r="D300" s="728" t="s">
        <v>472</v>
      </c>
      <c r="E300" s="1058"/>
      <c r="F300" s="1058"/>
      <c r="G300" s="1058"/>
      <c r="H300" s="1058"/>
      <c r="I300" s="1058"/>
      <c r="J300" s="99"/>
      <c r="K300" s="99"/>
      <c r="L300" s="99"/>
      <c r="M300" s="724" t="s">
        <v>398</v>
      </c>
      <c r="N300" s="724" t="s">
        <v>398</v>
      </c>
      <c r="O300" s="724" t="s">
        <v>398</v>
      </c>
      <c r="P300" s="724" t="s">
        <v>398</v>
      </c>
      <c r="Q300" s="724" t="s">
        <v>398</v>
      </c>
      <c r="R300" s="724" t="s">
        <v>398</v>
      </c>
      <c r="S300" s="724" t="s">
        <v>398</v>
      </c>
      <c r="T300" s="724" t="s">
        <v>398</v>
      </c>
      <c r="U300" s="724" t="s">
        <v>398</v>
      </c>
      <c r="V300" s="724" t="s">
        <v>398</v>
      </c>
    </row>
    <row r="301" spans="2:22" outlineLevel="1">
      <c r="B301" s="775" t="s">
        <v>473</v>
      </c>
      <c r="C301" s="702">
        <f>IF('R6a - Net Debt input'!D149 = "","",'R6a - Net Debt input'!D149)</f>
        <v>41257</v>
      </c>
      <c r="D301" s="702">
        <f>IF('R6a - Net Debt input'!E149 = "","",'R6a - Net Debt input'!E149)</f>
        <v>46742</v>
      </c>
      <c r="E301" s="1051" t="str">
        <f>IF('R6a - Net Debt input'!F149 = "","",'R6a - Net Debt input'!F149)</f>
        <v>15 YR SWAP: PAY 6M Libor +98 bp GBP 24.0 M RCV 3.05000% HKD 300.0 M MAT: 21-DEC-2027</v>
      </c>
      <c r="F301" s="1051"/>
      <c r="G301" s="1051"/>
      <c r="H301" s="1051"/>
      <c r="I301" s="1051"/>
      <c r="M301" s="779">
        <v>-0.1</v>
      </c>
      <c r="N301" s="779">
        <v>0</v>
      </c>
      <c r="O301" s="779">
        <v>0</v>
      </c>
      <c r="P301" s="779">
        <v>0</v>
      </c>
      <c r="Q301" s="779">
        <v>0</v>
      </c>
      <c r="R301" s="779">
        <v>0</v>
      </c>
      <c r="S301" s="779">
        <v>0</v>
      </c>
      <c r="T301" s="779">
        <v>0</v>
      </c>
      <c r="U301" s="779">
        <v>0</v>
      </c>
      <c r="V301" s="779">
        <v>0</v>
      </c>
    </row>
    <row r="302" spans="2:22" outlineLevel="1">
      <c r="B302" s="775" t="s">
        <v>474</v>
      </c>
      <c r="C302" s="771">
        <f>IF('R6a - Net Debt input'!D150 = "","",'R6a - Net Debt input'!D150)</f>
        <v>36189</v>
      </c>
      <c r="D302" s="771">
        <f>IF('R6a - Net Debt input'!E150 = "","",'R6a - Net Debt input'!E150)</f>
        <v>47200</v>
      </c>
      <c r="E302" s="1051" t="str">
        <f>IF('R6a - Net Debt input'!F150 = "","",'R6a - Net Debt input'!F150)</f>
        <v>30 YR SWAP: PAY 3M Libor +30 bp GBP 52.2 M RCV 4.31000% USD 85.8 M MAT: 23-MAR-2029</v>
      </c>
      <c r="F302" s="1051"/>
      <c r="G302" s="1051"/>
      <c r="H302" s="1051"/>
      <c r="I302" s="1051"/>
      <c r="M302" s="779">
        <v>-1.3</v>
      </c>
      <c r="N302" s="779">
        <v>0</v>
      </c>
      <c r="O302" s="779">
        <v>0</v>
      </c>
      <c r="P302" s="779">
        <v>0</v>
      </c>
      <c r="Q302" s="779">
        <v>0</v>
      </c>
      <c r="R302" s="779">
        <v>0</v>
      </c>
      <c r="S302" s="779">
        <v>0</v>
      </c>
      <c r="T302" s="779">
        <v>0</v>
      </c>
      <c r="U302" s="779">
        <v>0</v>
      </c>
      <c r="V302" s="779">
        <v>0</v>
      </c>
    </row>
    <row r="303" spans="2:22" outlineLevel="1">
      <c r="B303" s="775" t="s">
        <v>475</v>
      </c>
      <c r="C303" s="771">
        <f>IF('R6a - Net Debt input'!D151 = "","",'R6a - Net Debt input'!D151)</f>
        <v>36440</v>
      </c>
      <c r="D303" s="771">
        <f>IF('R6a - Net Debt input'!E151 = "","",'R6a - Net Debt input'!E151)</f>
        <v>47434</v>
      </c>
      <c r="E303" s="1051" t="str">
        <f>IF('R6a - Net Debt input'!F151 = "","",'R6a - Net Debt input'!F151)</f>
        <v>30 YR SWAP: PAY 6M Libor +39 bp GBP 11.2 M RCV 4.63000% USD 18.5 M MAT: 12-NOV-2029</v>
      </c>
      <c r="F303" s="1051"/>
      <c r="G303" s="1051"/>
      <c r="H303" s="1051"/>
      <c r="I303" s="1051"/>
      <c r="M303" s="779">
        <v>-0.6</v>
      </c>
      <c r="N303" s="779">
        <v>0</v>
      </c>
      <c r="O303" s="779">
        <v>0</v>
      </c>
      <c r="P303" s="779">
        <v>0</v>
      </c>
      <c r="Q303" s="779">
        <v>0</v>
      </c>
      <c r="R303" s="779">
        <v>0</v>
      </c>
      <c r="S303" s="779">
        <v>0</v>
      </c>
      <c r="T303" s="779">
        <v>0</v>
      </c>
      <c r="U303" s="779">
        <v>0</v>
      </c>
      <c r="V303" s="779">
        <v>0</v>
      </c>
    </row>
    <row r="304" spans="2:22" outlineLevel="1">
      <c r="B304" s="775" t="s">
        <v>476</v>
      </c>
      <c r="C304" s="771">
        <f>IF('R6a - Net Debt input'!D152 = "","",'R6a - Net Debt input'!D152)</f>
        <v>36440</v>
      </c>
      <c r="D304" s="771">
        <f>IF('R6a - Net Debt input'!E152 = "","",'R6a - Net Debt input'!E152)</f>
        <v>47434</v>
      </c>
      <c r="E304" s="1051" t="str">
        <f>IF('R6a - Net Debt input'!F152 = "","",'R6a - Net Debt input'!F152)</f>
        <v>30 YR SWAP: PAY 6M Libor +39 bp GBP 44.8 M RCV 4.63000% USD 74.2 M MAT: 12-NOV-2029</v>
      </c>
      <c r="F304" s="1051"/>
      <c r="G304" s="1051"/>
      <c r="H304" s="1051"/>
      <c r="I304" s="1051"/>
      <c r="M304" s="779">
        <v>-2.2999999999999998</v>
      </c>
      <c r="N304" s="779">
        <v>0</v>
      </c>
      <c r="O304" s="779">
        <v>0</v>
      </c>
      <c r="P304" s="779">
        <v>0</v>
      </c>
      <c r="Q304" s="779">
        <v>0</v>
      </c>
      <c r="R304" s="779">
        <v>0</v>
      </c>
      <c r="S304" s="779">
        <v>0</v>
      </c>
      <c r="T304" s="779">
        <v>0</v>
      </c>
      <c r="U304" s="779">
        <v>0</v>
      </c>
      <c r="V304" s="779">
        <v>0</v>
      </c>
    </row>
    <row r="305" spans="2:22" outlineLevel="1">
      <c r="B305" s="775" t="s">
        <v>477</v>
      </c>
      <c r="C305" s="771">
        <f>IF('R6a - Net Debt input'!D153 = "","",'R6a - Net Debt input'!D153)</f>
        <v>39436</v>
      </c>
      <c r="D305" s="771">
        <f>IF('R6a - Net Debt input'!E153 = "","",'R6a - Net Debt input'!E153)</f>
        <v>44936</v>
      </c>
      <c r="E305" s="1051" t="str">
        <f>IF('R6a - Net Debt input'!F153 = "","",'R6a - Net Debt input'!F153)</f>
        <v>15 YR SWAP: PAY 6M Libor +70 bp GBP 13.3 M RCV 2.54000% JPY 3000.0 M MAT: 10-JAN-2023</v>
      </c>
      <c r="F305" s="1051"/>
      <c r="G305" s="1051"/>
      <c r="H305" s="1051"/>
      <c r="I305" s="1051"/>
      <c r="M305" s="779">
        <v>-0.2</v>
      </c>
      <c r="N305" s="779">
        <v>0</v>
      </c>
      <c r="O305" s="779">
        <v>0</v>
      </c>
      <c r="P305" s="779">
        <v>0</v>
      </c>
      <c r="Q305" s="779">
        <v>0</v>
      </c>
      <c r="R305" s="779">
        <v>0</v>
      </c>
      <c r="S305" s="779">
        <v>0</v>
      </c>
      <c r="T305" s="779">
        <v>0</v>
      </c>
      <c r="U305" s="779">
        <v>0</v>
      </c>
      <c r="V305" s="779">
        <v>0</v>
      </c>
    </row>
    <row r="306" spans="2:22" outlineLevel="1">
      <c r="B306" s="775" t="s">
        <v>988</v>
      </c>
      <c r="C306" s="771">
        <f>IF('R6a - Net Debt input'!D154 = "","",'R6a - Net Debt input'!D154)</f>
        <v>36398</v>
      </c>
      <c r="D306" s="771">
        <f>IF('R6a - Net Debt input'!E154 = "","",'R6a - Net Debt input'!E154)</f>
        <v>44504</v>
      </c>
      <c r="E306" s="1051" t="str">
        <f>IF('R6a - Net Debt input'!F154 = "","",'R6a - Net Debt input'!F154)</f>
        <v>21.5 YR SWAP: PAY 12.95946% GBP 45.7 M RCV 8.37863% USD 256.9 M MAT: 04-NOV-2021</v>
      </c>
      <c r="F306" s="1051"/>
      <c r="G306" s="1051"/>
      <c r="H306" s="1051"/>
      <c r="I306" s="1051"/>
      <c r="M306" s="779">
        <v>0</v>
      </c>
      <c r="N306" s="779">
        <v>0</v>
      </c>
      <c r="O306" s="779">
        <v>0</v>
      </c>
      <c r="P306" s="779">
        <v>0</v>
      </c>
      <c r="Q306" s="779">
        <v>0</v>
      </c>
      <c r="R306" s="779">
        <v>0</v>
      </c>
      <c r="S306" s="779">
        <v>0</v>
      </c>
      <c r="T306" s="779">
        <v>0</v>
      </c>
      <c r="U306" s="779">
        <v>0</v>
      </c>
      <c r="V306" s="779">
        <v>0</v>
      </c>
    </row>
    <row r="307" spans="2:22" outlineLevel="1">
      <c r="B307" s="775" t="s">
        <v>989</v>
      </c>
      <c r="C307" s="771">
        <f>IF('R6a - Net Debt input'!D155 = "","",'R6a - Net Debt input'!D155)</f>
        <v>37337</v>
      </c>
      <c r="D307" s="771">
        <f>IF('R6a - Net Debt input'!E155 = "","",'R6a - Net Debt input'!E155)</f>
        <v>44504</v>
      </c>
      <c r="E307" s="1051" t="str">
        <f>IF('R6a - Net Debt input'!F155 = "","",'R6a - Net Debt input'!F155)</f>
        <v>19.5 YR SWAP: PAY 8.37863% USD 5.2 M RCV 12.95946% GBP 1.0 M MAT: 04-NOV-2021</v>
      </c>
      <c r="F307" s="1051"/>
      <c r="G307" s="1051"/>
      <c r="H307" s="1051"/>
      <c r="I307" s="1051"/>
      <c r="M307" s="779">
        <v>0</v>
      </c>
      <c r="N307" s="779">
        <v>0</v>
      </c>
      <c r="O307" s="779">
        <v>0</v>
      </c>
      <c r="P307" s="779">
        <v>0</v>
      </c>
      <c r="Q307" s="779">
        <v>0</v>
      </c>
      <c r="R307" s="779">
        <v>0</v>
      </c>
      <c r="S307" s="779">
        <v>0</v>
      </c>
      <c r="T307" s="779">
        <v>0</v>
      </c>
      <c r="U307" s="779">
        <v>0</v>
      </c>
      <c r="V307" s="779">
        <v>0</v>
      </c>
    </row>
    <row r="308" spans="2:22" outlineLevel="1">
      <c r="B308" s="775" t="s">
        <v>990</v>
      </c>
      <c r="C308" s="771">
        <f>IF('R6a - Net Debt input'!D156 = "","",'R6a - Net Debt input'!D156)</f>
        <v>44363</v>
      </c>
      <c r="D308" s="771">
        <f>IF('R6a - Net Debt input'!E156 = "","",'R6a - Net Debt input'!E156)</f>
        <v>46742</v>
      </c>
      <c r="E308" s="1051" t="str">
        <f>IF('R6a - Net Debt input'!F156 = "","",'R6a - Net Debt input'!F156)</f>
        <v>6.5 YR SWAP: PAY 1D SONIA +123 bp GBP 24.0 M RCV 3.05000% HKD 300.0 M MAT: 21-DEC-2027</v>
      </c>
      <c r="F308" s="1051"/>
      <c r="G308" s="1051"/>
      <c r="H308" s="1051"/>
      <c r="I308" s="1051"/>
      <c r="M308" s="779">
        <v>-0.5</v>
      </c>
      <c r="N308" s="779">
        <v>-0.23277635999999999</v>
      </c>
      <c r="O308" s="779">
        <v>-2.4968250000000001E-2</v>
      </c>
      <c r="P308" s="779">
        <v>-0.10766103</v>
      </c>
      <c r="Q308" s="779">
        <v>-0.17124855</v>
      </c>
      <c r="R308" s="779">
        <v>-0.20894772</v>
      </c>
      <c r="S308" s="779">
        <v>-0.17354849</v>
      </c>
      <c r="T308" s="779">
        <v>0</v>
      </c>
      <c r="U308" s="779">
        <v>0</v>
      </c>
      <c r="V308" s="779">
        <v>0</v>
      </c>
    </row>
    <row r="309" spans="2:22" outlineLevel="1">
      <c r="B309" s="775" t="s">
        <v>991</v>
      </c>
      <c r="C309" s="771">
        <f>IF('R6a - Net Debt input'!D157 = "","",'R6a - Net Debt input'!D157)</f>
        <v>44363</v>
      </c>
      <c r="D309" s="771">
        <f>IF('R6a - Net Debt input'!E157 = "","",'R6a - Net Debt input'!E157)</f>
        <v>44936</v>
      </c>
      <c r="E309" s="1051" t="str">
        <f>IF('R6a - Net Debt input'!F157 = "","",'R6a - Net Debt input'!F157)</f>
        <v>1.5 YR SWAP: PAY 1D SONIA +84 bp GBP 13.3 M RCV 2.54000% JPY 3000.0 M MAT: 10-JAN-2023</v>
      </c>
      <c r="F309" s="1051"/>
      <c r="G309" s="1051"/>
      <c r="H309" s="1051"/>
      <c r="I309" s="1051"/>
      <c r="M309" s="779">
        <v>-0.2</v>
      </c>
      <c r="N309" s="779">
        <v>-0.15970445999999999</v>
      </c>
      <c r="O309" s="779">
        <v>0</v>
      </c>
      <c r="P309" s="779">
        <v>0</v>
      </c>
      <c r="Q309" s="779">
        <v>0</v>
      </c>
      <c r="R309" s="779">
        <v>0</v>
      </c>
      <c r="S309" s="779">
        <v>0</v>
      </c>
      <c r="T309" s="779">
        <v>0</v>
      </c>
      <c r="U309" s="779">
        <v>0</v>
      </c>
      <c r="V309" s="779">
        <v>0</v>
      </c>
    </row>
    <row r="310" spans="2:22" outlineLevel="1">
      <c r="B310" s="775" t="s">
        <v>992</v>
      </c>
      <c r="C310" s="771">
        <f>IF('R6a - Net Debt input'!D158 = "","",'R6a - Net Debt input'!D158)</f>
        <v>44397</v>
      </c>
      <c r="D310" s="771">
        <f>IF('R6a - Net Debt input'!E158 = "","",'R6a - Net Debt input'!E158)</f>
        <v>47200</v>
      </c>
      <c r="E310" s="1051" t="str">
        <f>IF('R6a - Net Debt input'!F158 = "","",'R6a - Net Debt input'!F158)</f>
        <v>7.5 YR SWAP: PAY 1D SONIA +42 bp GBP 52.2 M RCV 4.31000% USD 85.8 M MAT: 23-MAR-2029</v>
      </c>
      <c r="F310" s="1051"/>
      <c r="G310" s="1051"/>
      <c r="H310" s="1051"/>
      <c r="I310" s="1051"/>
      <c r="M310" s="779">
        <v>-1.2</v>
      </c>
      <c r="N310" s="779">
        <v>-1.7943312900000001</v>
      </c>
      <c r="O310" s="779">
        <v>-1.3370438500000001</v>
      </c>
      <c r="P310" s="779">
        <v>-1.54848812</v>
      </c>
      <c r="Q310" s="779">
        <v>-1.6865850099999999</v>
      </c>
      <c r="R310" s="779">
        <v>-1.7612581899999999</v>
      </c>
      <c r="S310" s="779">
        <v>-1.83673478</v>
      </c>
      <c r="T310" s="779">
        <v>-1.8492747199999999</v>
      </c>
      <c r="U310" s="779">
        <v>0</v>
      </c>
      <c r="V310" s="779">
        <v>0</v>
      </c>
    </row>
    <row r="311" spans="2:22" outlineLevel="1">
      <c r="B311" s="775" t="s">
        <v>993</v>
      </c>
      <c r="C311" s="771">
        <f>IF('R6a - Net Debt input'!D159 = "","",'R6a - Net Debt input'!D159)</f>
        <v>44397</v>
      </c>
      <c r="D311" s="771">
        <f>IF('R6a - Net Debt input'!E159 = "","",'R6a - Net Debt input'!E159)</f>
        <v>47200</v>
      </c>
      <c r="E311" s="1051" t="str">
        <f>IF('R6a - Net Debt input'!F159 = "","",'R6a - Net Debt input'!F159)</f>
        <v>7.5 YR SWAP: PAY 0.00000% GBP 52.2 M RCV 0.00000% JPY 10000.0 M MAT: 23-MAR-2029</v>
      </c>
      <c r="F311" s="1051"/>
      <c r="G311" s="1051"/>
      <c r="H311" s="1051"/>
      <c r="I311" s="1051"/>
      <c r="M311" s="779">
        <v>0</v>
      </c>
      <c r="N311" s="779">
        <v>0</v>
      </c>
      <c r="O311" s="779">
        <v>0</v>
      </c>
      <c r="P311" s="779">
        <v>0</v>
      </c>
      <c r="Q311" s="779">
        <v>0</v>
      </c>
      <c r="R311" s="779">
        <v>0</v>
      </c>
      <c r="S311" s="779">
        <v>0</v>
      </c>
      <c r="T311" s="779">
        <v>0</v>
      </c>
      <c r="U311" s="779">
        <v>0</v>
      </c>
      <c r="V311" s="779">
        <v>0</v>
      </c>
    </row>
    <row r="312" spans="2:22" outlineLevel="1">
      <c r="B312" s="775" t="s">
        <v>994</v>
      </c>
      <c r="C312" s="771">
        <f>IF('R6a - Net Debt input'!D160 = "","",'R6a - Net Debt input'!D160)</f>
        <v>44397</v>
      </c>
      <c r="D312" s="771">
        <f>IF('R6a - Net Debt input'!E160 = "","",'R6a - Net Debt input'!E160)</f>
        <v>47200</v>
      </c>
      <c r="E312" s="1051" t="str">
        <f>IF('R6a - Net Debt input'!F160 = "","",'R6a - Net Debt input'!F160)</f>
        <v>7.5 YR SWAP: PAY 0.00000% USD 85.8 M RCV 0.00000% GBP 52.2 M MAT: 23-MAR-2029</v>
      </c>
      <c r="F312" s="1051"/>
      <c r="G312" s="1051"/>
      <c r="H312" s="1051"/>
      <c r="I312" s="1051"/>
      <c r="M312" s="779">
        <v>0</v>
      </c>
      <c r="N312" s="779">
        <v>0</v>
      </c>
      <c r="O312" s="779">
        <v>0</v>
      </c>
      <c r="P312" s="779">
        <v>0</v>
      </c>
      <c r="Q312" s="779">
        <v>0</v>
      </c>
      <c r="R312" s="779">
        <v>0</v>
      </c>
      <c r="S312" s="779">
        <v>0</v>
      </c>
      <c r="T312" s="779">
        <v>0</v>
      </c>
      <c r="U312" s="779">
        <v>0</v>
      </c>
      <c r="V312" s="779">
        <v>0</v>
      </c>
    </row>
    <row r="313" spans="2:22" outlineLevel="1">
      <c r="B313" s="775" t="s">
        <v>995</v>
      </c>
      <c r="C313" s="771">
        <f>IF('R6a - Net Debt input'!D161 = "","",'R6a - Net Debt input'!D161)</f>
        <v>44439</v>
      </c>
      <c r="D313" s="771">
        <f>IF('R6a - Net Debt input'!E161 = "","",'R6a - Net Debt input'!E161)</f>
        <v>47434</v>
      </c>
      <c r="E313" s="1051" t="str">
        <f>IF('R6a - Net Debt input'!F161 = "","",'R6a - Net Debt input'!F161)</f>
        <v>8 YR SWAP: PAY 1D SONIA +65 bp GBP 11.2 M RCV 4.63000% USD 18.5 M MAT: 12-NOV-2029</v>
      </c>
      <c r="F313" s="1051"/>
      <c r="G313" s="1051"/>
      <c r="H313" s="1051"/>
      <c r="I313" s="1051"/>
      <c r="M313" s="779">
        <v>0</v>
      </c>
      <c r="N313" s="779">
        <v>-0.40588341999999999</v>
      </c>
      <c r="O313" s="779">
        <v>-0.31469730000000001</v>
      </c>
      <c r="P313" s="779">
        <v>-0.35345824999999997</v>
      </c>
      <c r="Q313" s="779">
        <v>-0.38334194999999999</v>
      </c>
      <c r="R313" s="779">
        <v>-0.40038877</v>
      </c>
      <c r="S313" s="779">
        <v>-0.41618411</v>
      </c>
      <c r="T313" s="779">
        <v>-0.42759645000000002</v>
      </c>
      <c r="U313" s="779">
        <v>-0.26363428000000005</v>
      </c>
      <c r="V313" s="779">
        <v>0</v>
      </c>
    </row>
    <row r="314" spans="2:22" outlineLevel="1">
      <c r="B314" s="775" t="s">
        <v>996</v>
      </c>
      <c r="C314" s="771">
        <f>IF('R6a - Net Debt input'!D162 = "","",'R6a - Net Debt input'!D162)</f>
        <v>44439</v>
      </c>
      <c r="D314" s="771">
        <f>IF('R6a - Net Debt input'!E162 = "","",'R6a - Net Debt input'!E162)</f>
        <v>47434</v>
      </c>
      <c r="E314" s="1051" t="str">
        <f>IF('R6a - Net Debt input'!F162 = "","",'R6a - Net Debt input'!F162)</f>
        <v>8 YR SWAP: PAY 0.00000% USD 18.5 M RCV 0.00000% GBP 11.2 M MAT: 12-NOV-2029</v>
      </c>
      <c r="F314" s="1051"/>
      <c r="G314" s="1051"/>
      <c r="H314" s="1051"/>
      <c r="I314" s="1051"/>
      <c r="M314" s="779">
        <v>0</v>
      </c>
      <c r="N314" s="779">
        <v>0</v>
      </c>
      <c r="O314" s="779">
        <v>0</v>
      </c>
      <c r="P314" s="779">
        <v>0</v>
      </c>
      <c r="Q314" s="779">
        <v>0</v>
      </c>
      <c r="R314" s="779">
        <v>0</v>
      </c>
      <c r="S314" s="779">
        <v>0</v>
      </c>
      <c r="T314" s="779">
        <v>0</v>
      </c>
      <c r="U314" s="779">
        <v>0</v>
      </c>
      <c r="V314" s="779">
        <v>0</v>
      </c>
    </row>
    <row r="315" spans="2:22" outlineLevel="1">
      <c r="B315" s="775" t="s">
        <v>997</v>
      </c>
      <c r="C315" s="771">
        <f>IF('R6a - Net Debt input'!D163 = "","",'R6a - Net Debt input'!D163)</f>
        <v>44439</v>
      </c>
      <c r="D315" s="771">
        <f>IF('R6a - Net Debt input'!E163 = "","",'R6a - Net Debt input'!E163)</f>
        <v>47434</v>
      </c>
      <c r="E315" s="1051" t="str">
        <f>IF('R6a - Net Debt input'!F163 = "","",'R6a - Net Debt input'!F163)</f>
        <v>8 YR SWAP: PAY 0.00000% GBP 11.2 M RCV 0.00000% JPY 2000.0 M MAT: 12-NOV-2029</v>
      </c>
      <c r="F315" s="1051"/>
      <c r="G315" s="1051"/>
      <c r="H315" s="1051"/>
      <c r="I315" s="1051"/>
      <c r="M315" s="779">
        <v>0</v>
      </c>
      <c r="N315" s="779">
        <v>0</v>
      </c>
      <c r="O315" s="779">
        <v>0</v>
      </c>
      <c r="P315" s="779">
        <v>0</v>
      </c>
      <c r="Q315" s="779">
        <v>0</v>
      </c>
      <c r="R315" s="779">
        <v>0</v>
      </c>
      <c r="S315" s="779">
        <v>0</v>
      </c>
      <c r="T315" s="779">
        <v>0</v>
      </c>
      <c r="U315" s="779">
        <v>0</v>
      </c>
      <c r="V315" s="779">
        <v>0</v>
      </c>
    </row>
    <row r="316" spans="2:22" outlineLevel="1">
      <c r="B316" s="775" t="s">
        <v>998</v>
      </c>
      <c r="C316" s="771">
        <f>IF('R6a - Net Debt input'!D164 = "","",'R6a - Net Debt input'!D164)</f>
        <v>44439</v>
      </c>
      <c r="D316" s="771">
        <f>IF('R6a - Net Debt input'!E164 = "","",'R6a - Net Debt input'!E164)</f>
        <v>47434</v>
      </c>
      <c r="E316" s="1051" t="str">
        <f>IF('R6a - Net Debt input'!F164 = "","",'R6a - Net Debt input'!F164)</f>
        <v>8 YR SWAP: PAY 1D SONIA +65 bp GBP 44.8 M RCV 4.63000% USD 74.2 M MAT: 12-NOV-2029</v>
      </c>
      <c r="F316" s="1051"/>
      <c r="G316" s="1051"/>
      <c r="H316" s="1051"/>
      <c r="I316" s="1051"/>
      <c r="M316" s="779">
        <v>0</v>
      </c>
      <c r="N316" s="779">
        <v>-1.62350233</v>
      </c>
      <c r="O316" s="779">
        <v>-1.2587576999999999</v>
      </c>
      <c r="P316" s="779">
        <v>-1.4138015900000001</v>
      </c>
      <c r="Q316" s="779">
        <v>-1.5333363999999998</v>
      </c>
      <c r="R316" s="779">
        <v>-1.6015237099999999</v>
      </c>
      <c r="S316" s="779">
        <v>-1.6647049599999999</v>
      </c>
      <c r="T316" s="779">
        <v>-1.7103543999999999</v>
      </c>
      <c r="U316" s="779">
        <v>-1.05451761</v>
      </c>
      <c r="V316" s="779">
        <v>0</v>
      </c>
    </row>
    <row r="317" spans="2:22" outlineLevel="1">
      <c r="B317" s="775" t="s">
        <v>999</v>
      </c>
      <c r="C317" s="771">
        <f>IF('R6a - Net Debt input'!D165 = "","",'R6a - Net Debt input'!D165)</f>
        <v>44439</v>
      </c>
      <c r="D317" s="771">
        <f>IF('R6a - Net Debt input'!E165 = "","",'R6a - Net Debt input'!E165)</f>
        <v>47434</v>
      </c>
      <c r="E317" s="1051" t="str">
        <f>IF('R6a - Net Debt input'!F165 = "","",'R6a - Net Debt input'!F165)</f>
        <v>8 YR SWAP: PAY 0.00000% GBP 44.8 M RCV 0.00000% JPY 8000.0 M MAT: 12-NOV-2029</v>
      </c>
      <c r="F317" s="1051"/>
      <c r="G317" s="1051"/>
      <c r="H317" s="1051"/>
      <c r="I317" s="1051"/>
      <c r="M317" s="779">
        <v>0</v>
      </c>
      <c r="N317" s="779">
        <v>0</v>
      </c>
      <c r="O317" s="779">
        <v>0</v>
      </c>
      <c r="P317" s="779">
        <v>0</v>
      </c>
      <c r="Q317" s="779">
        <v>0</v>
      </c>
      <c r="R317" s="779">
        <v>0</v>
      </c>
      <c r="S317" s="779">
        <v>0</v>
      </c>
      <c r="T317" s="779">
        <v>0</v>
      </c>
      <c r="U317" s="779">
        <v>0</v>
      </c>
      <c r="V317" s="779">
        <v>0</v>
      </c>
    </row>
    <row r="318" spans="2:22" outlineLevel="1">
      <c r="B318" s="775" t="s">
        <v>1000</v>
      </c>
      <c r="C318" s="771">
        <f>IF('R6a - Net Debt input'!D166 = "","",'R6a - Net Debt input'!D166)</f>
        <v>44439</v>
      </c>
      <c r="D318" s="771">
        <f>IF('R6a - Net Debt input'!E166 = "","",'R6a - Net Debt input'!E166)</f>
        <v>47434</v>
      </c>
      <c r="E318" s="1051" t="str">
        <f>IF('R6a - Net Debt input'!F166 = "","",'R6a - Net Debt input'!F166)</f>
        <v>8 YR SWAP: PAY 0.00000% USD 74.2 M RCV 0.00000% GBP 44.8 M MAT: 12-NOV-2029</v>
      </c>
      <c r="F318" s="1051"/>
      <c r="G318" s="1051"/>
      <c r="H318" s="1051"/>
      <c r="I318" s="1051"/>
      <c r="M318" s="779">
        <v>0</v>
      </c>
      <c r="N318" s="779">
        <v>0</v>
      </c>
      <c r="O318" s="779">
        <v>0</v>
      </c>
      <c r="P318" s="779">
        <v>0</v>
      </c>
      <c r="Q318" s="779">
        <v>0</v>
      </c>
      <c r="R318" s="779">
        <v>0</v>
      </c>
      <c r="S318" s="779">
        <v>0</v>
      </c>
      <c r="T318" s="779">
        <v>0</v>
      </c>
      <c r="U318" s="779">
        <v>0</v>
      </c>
      <c r="V318" s="779">
        <v>0</v>
      </c>
    </row>
    <row r="319" spans="2:22" outlineLevel="1">
      <c r="B319" s="730" t="s">
        <v>478</v>
      </c>
      <c r="C319" s="1056" t="s">
        <v>479</v>
      </c>
      <c r="D319" s="1056"/>
      <c r="E319" s="1056"/>
      <c r="F319" s="1056"/>
      <c r="G319" s="1056"/>
      <c r="H319" s="1056"/>
      <c r="I319" s="1056"/>
      <c r="M319" s="779">
        <v>0</v>
      </c>
      <c r="N319" s="779">
        <v>0</v>
      </c>
      <c r="O319" s="779">
        <v>0</v>
      </c>
      <c r="P319" s="779">
        <v>0</v>
      </c>
      <c r="Q319" s="779">
        <v>0</v>
      </c>
      <c r="R319" s="779">
        <v>0</v>
      </c>
      <c r="S319" s="779">
        <v>0</v>
      </c>
      <c r="T319" s="779">
        <v>0</v>
      </c>
      <c r="U319" s="779">
        <v>0</v>
      </c>
      <c r="V319" s="779">
        <v>0</v>
      </c>
    </row>
    <row r="320" spans="2:22">
      <c r="B320" s="117"/>
      <c r="E320" s="117"/>
      <c r="F320" s="117"/>
      <c r="G320" s="117"/>
      <c r="H320" s="117"/>
      <c r="L320" s="537" t="s">
        <v>480</v>
      </c>
      <c r="M320" s="780">
        <f t="shared" ref="M320:V320" si="66">SUM(M301:M319)</f>
        <v>-6.4</v>
      </c>
      <c r="N320" s="780">
        <f t="shared" si="66"/>
        <v>-4.2161978599999994</v>
      </c>
      <c r="O320" s="780">
        <f t="shared" si="66"/>
        <v>-2.9354670999999999</v>
      </c>
      <c r="P320" s="780">
        <f t="shared" si="66"/>
        <v>-3.4234089900000004</v>
      </c>
      <c r="Q320" s="780">
        <f t="shared" si="66"/>
        <v>-3.7745119100000002</v>
      </c>
      <c r="R320" s="780">
        <f t="shared" si="66"/>
        <v>-3.9721183899999999</v>
      </c>
      <c r="S320" s="780">
        <f t="shared" si="66"/>
        <v>-4.09117234</v>
      </c>
      <c r="T320" s="780">
        <f t="shared" si="66"/>
        <v>-3.9872255699999997</v>
      </c>
      <c r="U320" s="780">
        <f t="shared" si="66"/>
        <v>-1.31815189</v>
      </c>
      <c r="V320" s="780">
        <f t="shared" si="66"/>
        <v>0</v>
      </c>
    </row>
    <row r="321" spans="2:24">
      <c r="B321" s="117"/>
      <c r="E321" s="117"/>
      <c r="F321" s="117"/>
      <c r="G321" s="117"/>
      <c r="H321" s="117"/>
      <c r="X321" s="179"/>
    </row>
    <row r="322" spans="2:24" ht="14">
      <c r="B322" s="156" t="s">
        <v>481</v>
      </c>
      <c r="C322" s="157" t="s">
        <v>482</v>
      </c>
      <c r="D322" s="157"/>
      <c r="E322" s="157"/>
      <c r="F322" s="157"/>
      <c r="G322" s="158"/>
      <c r="H322" s="158"/>
      <c r="I322" s="158"/>
      <c r="J322" s="158"/>
      <c r="K322" s="158"/>
      <c r="L322" s="156"/>
      <c r="M322" s="157"/>
      <c r="N322" s="157"/>
      <c r="O322" s="157"/>
      <c r="P322" s="157"/>
      <c r="Q322" s="157"/>
      <c r="R322" s="157"/>
      <c r="S322" s="157"/>
      <c r="T322" s="157"/>
      <c r="U322" s="183"/>
      <c r="V322" s="157"/>
    </row>
    <row r="323" spans="2:24" outlineLevel="1">
      <c r="B323" s="117"/>
      <c r="I323" s="1066"/>
      <c r="J323" s="1066"/>
      <c r="K323" s="1066"/>
      <c r="L323" s="1066"/>
      <c r="M323" s="1066"/>
      <c r="N323" s="1066"/>
      <c r="O323" s="1066"/>
      <c r="P323" s="1066"/>
      <c r="Q323" s="1067"/>
      <c r="R323" s="360"/>
      <c r="X323" s="179"/>
    </row>
    <row r="324" spans="2:24" ht="17.5" outlineLevel="1">
      <c r="B324" s="101"/>
      <c r="C324" s="98"/>
      <c r="D324" s="166" t="s">
        <v>396</v>
      </c>
      <c r="E324" s="168"/>
      <c r="F324" s="168"/>
      <c r="G324" s="167"/>
      <c r="H324" s="167"/>
      <c r="I324" s="167"/>
      <c r="J324" s="167"/>
      <c r="K324" s="167"/>
      <c r="L324" s="193"/>
      <c r="M324" s="168"/>
      <c r="N324" s="168"/>
      <c r="O324" s="168"/>
      <c r="P324" s="168"/>
      <c r="Q324" s="168"/>
      <c r="R324" s="168"/>
      <c r="S324" s="168"/>
      <c r="T324" s="168"/>
      <c r="U324" s="185"/>
      <c r="V324" s="168"/>
    </row>
    <row r="325" spans="2:24" outlineLevel="1">
      <c r="B325" s="117"/>
      <c r="I325" s="114"/>
      <c r="J325" s="114"/>
      <c r="K325" s="114"/>
      <c r="L325" s="114"/>
      <c r="M325" s="114"/>
      <c r="N325" s="114"/>
      <c r="O325" s="114"/>
      <c r="P325" s="114"/>
      <c r="Q325" s="360"/>
      <c r="R325" s="360"/>
    </row>
    <row r="326" spans="2:24" ht="32.25" customHeight="1" outlineLevel="1">
      <c r="B326" s="726"/>
      <c r="C326" s="536" t="s">
        <v>469</v>
      </c>
      <c r="D326" s="536" t="s">
        <v>470</v>
      </c>
      <c r="E326" s="1058" t="s">
        <v>471</v>
      </c>
      <c r="F326" s="1058" t="s">
        <v>483</v>
      </c>
      <c r="G326" s="1058" t="s">
        <v>484</v>
      </c>
      <c r="H326" s="1058" t="s">
        <v>485</v>
      </c>
      <c r="I326" s="1058" t="s">
        <v>486</v>
      </c>
      <c r="L326" s="360"/>
      <c r="U326" s="179"/>
    </row>
    <row r="327" spans="2:24" s="256" customFormat="1" ht="53.25" customHeight="1" outlineLevel="1">
      <c r="B327" s="727" t="s">
        <v>397</v>
      </c>
      <c r="C327" s="728" t="s">
        <v>472</v>
      </c>
      <c r="D327" s="728" t="s">
        <v>472</v>
      </c>
      <c r="E327" s="1058"/>
      <c r="F327" s="1058" t="s">
        <v>136</v>
      </c>
      <c r="G327" s="1058" t="s">
        <v>136</v>
      </c>
      <c r="H327" s="1058" t="s">
        <v>398</v>
      </c>
      <c r="I327" s="1058" t="s">
        <v>487</v>
      </c>
      <c r="J327" s="99"/>
      <c r="K327" s="99"/>
      <c r="L327" s="251"/>
      <c r="M327" s="728" t="s">
        <v>398</v>
      </c>
      <c r="N327" s="728" t="s">
        <v>398</v>
      </c>
      <c r="O327" s="728" t="s">
        <v>398</v>
      </c>
      <c r="P327" s="728" t="s">
        <v>398</v>
      </c>
      <c r="Q327" s="728" t="s">
        <v>398</v>
      </c>
      <c r="R327" s="728" t="s">
        <v>398</v>
      </c>
      <c r="S327" s="728" t="s">
        <v>398</v>
      </c>
      <c r="T327" s="728" t="s">
        <v>398</v>
      </c>
      <c r="U327" s="728" t="s">
        <v>398</v>
      </c>
      <c r="V327" s="728" t="s">
        <v>398</v>
      </c>
    </row>
    <row r="328" spans="2:24" outlineLevel="1">
      <c r="B328" s="799" t="s">
        <v>490</v>
      </c>
      <c r="C328" s="702">
        <f>IF('R6a - Net Debt input'!D190 = "","",'R6a - Net Debt input'!D190)</f>
        <v>38810</v>
      </c>
      <c r="D328" s="702">
        <f>IF('R6a - Net Debt input'!E190 = "","",'R6a - Net Debt input'!E190)</f>
        <v>45835</v>
      </c>
      <c r="E328" s="1051" t="str">
        <f>IF('R6a - Net Debt input'!F190 = "","",'R6a - Net Debt input'!F190)</f>
        <v>19.2 YR SWAP: PAY 6M Libor +409 bp GBP RCV 8.75000% GBP 20.0 M MAT: 27-JUN-2025</v>
      </c>
      <c r="F328" s="1051"/>
      <c r="G328" s="1051"/>
      <c r="H328" s="1051"/>
      <c r="I328" s="1051"/>
      <c r="L328" s="360"/>
      <c r="M328" s="779">
        <v>-0.2</v>
      </c>
      <c r="N328" s="779">
        <v>0</v>
      </c>
      <c r="O328" s="779">
        <v>0</v>
      </c>
      <c r="P328" s="779">
        <v>0</v>
      </c>
      <c r="Q328" s="779">
        <v>0</v>
      </c>
      <c r="R328" s="779">
        <v>0</v>
      </c>
      <c r="S328" s="779">
        <v>0</v>
      </c>
      <c r="T328" s="779">
        <v>0</v>
      </c>
      <c r="U328" s="779">
        <v>0</v>
      </c>
      <c r="V328" s="779">
        <v>0</v>
      </c>
    </row>
    <row r="329" spans="2:24" outlineLevel="1">
      <c r="B329" s="799" t="s">
        <v>496</v>
      </c>
      <c r="C329" s="771">
        <f>IF('R6a - Net Debt input'!D191 = "","",'R6a - Net Debt input'!D191)</f>
        <v>39338</v>
      </c>
      <c r="D329" s="771">
        <f>IF('R6a - Net Debt input'!E191 = "","",'R6a - Net Debt input'!E191)</f>
        <v>45642</v>
      </c>
      <c r="E329" s="1051" t="str">
        <f>IF('R6a - Net Debt input'!F191 = "","",'R6a - Net Debt input'!F191)</f>
        <v>17.3 YR SWAP: PAY 6M Libor +265 bp GBP RCV 7.00000% GBP 20.0 M MAT: 16-DEC-2024</v>
      </c>
      <c r="F329" s="1051"/>
      <c r="G329" s="1051"/>
      <c r="H329" s="1051"/>
      <c r="I329" s="1051"/>
      <c r="L329" s="360"/>
      <c r="M329" s="779">
        <v>0.1</v>
      </c>
      <c r="N329" s="779">
        <v>0</v>
      </c>
      <c r="O329" s="779">
        <v>0</v>
      </c>
      <c r="P329" s="779">
        <v>0</v>
      </c>
      <c r="Q329" s="779">
        <v>0</v>
      </c>
      <c r="R329" s="779">
        <v>0</v>
      </c>
      <c r="S329" s="779">
        <v>0</v>
      </c>
      <c r="T329" s="779">
        <v>0</v>
      </c>
      <c r="U329" s="779">
        <v>0</v>
      </c>
      <c r="V329" s="779">
        <v>0</v>
      </c>
    </row>
    <row r="330" spans="2:24" outlineLevel="1">
      <c r="B330" s="799" t="s">
        <v>1007</v>
      </c>
      <c r="C330" s="771">
        <f>IF('R6a - Net Debt input'!D192 = "","",'R6a - Net Debt input'!D192)</f>
        <v>39836</v>
      </c>
      <c r="D330" s="771">
        <f>IF('R6a - Net Debt input'!E192 = "","",'R6a - Net Debt input'!E192)</f>
        <v>50538</v>
      </c>
      <c r="E330" s="1051" t="str">
        <f>IF('R6a - Net Debt input'!F192 = "","",'R6a - Net Debt input'!F192)</f>
        <v>29.3 YR SWAP: PAY 6M Libor +213 bp GBP RCV 6.00000% GBP 23.0 M MAT: 13-MAY-2038</v>
      </c>
      <c r="F330" s="1051"/>
      <c r="G330" s="1051"/>
      <c r="H330" s="1051"/>
      <c r="I330" s="1051"/>
      <c r="L330" s="772"/>
      <c r="M330" s="779">
        <v>0.1</v>
      </c>
      <c r="N330" s="779">
        <v>0</v>
      </c>
      <c r="O330" s="779">
        <v>0</v>
      </c>
      <c r="P330" s="779">
        <v>0</v>
      </c>
      <c r="Q330" s="779">
        <v>0</v>
      </c>
      <c r="R330" s="779">
        <v>0</v>
      </c>
      <c r="S330" s="779">
        <v>0</v>
      </c>
      <c r="T330" s="779">
        <v>0</v>
      </c>
      <c r="U330" s="779">
        <v>0</v>
      </c>
      <c r="V330" s="779">
        <v>0</v>
      </c>
    </row>
    <row r="331" spans="2:24" outlineLevel="1">
      <c r="B331" s="799" t="s">
        <v>1008</v>
      </c>
      <c r="C331" s="771">
        <f>IF('R6a - Net Debt input'!D193 = "","",'R6a - Net Debt input'!D193)</f>
        <v>40484</v>
      </c>
      <c r="D331" s="771">
        <f>IF('R6a - Net Debt input'!E193 = "","",'R6a - Net Debt input'!E193)</f>
        <v>50538</v>
      </c>
      <c r="E331" s="1051" t="str">
        <f>IF('R6a - Net Debt input'!F193 = "","",'R6a - Net Debt input'!F193)</f>
        <v>27.5 YR SWAP: PAY 6M Libor +210 bp GBP RCV 6.00000% GBP 18.0 M MAT: 13-MAY-2038</v>
      </c>
      <c r="F331" s="1051"/>
      <c r="G331" s="1051"/>
      <c r="H331" s="1051"/>
      <c r="I331" s="1051"/>
      <c r="L331" s="772"/>
      <c r="M331" s="779">
        <v>0.1</v>
      </c>
      <c r="N331" s="779">
        <v>0</v>
      </c>
      <c r="O331" s="779">
        <v>0</v>
      </c>
      <c r="P331" s="779">
        <v>0</v>
      </c>
      <c r="Q331" s="779">
        <v>0</v>
      </c>
      <c r="R331" s="779">
        <v>0</v>
      </c>
      <c r="S331" s="779">
        <v>0</v>
      </c>
      <c r="T331" s="779">
        <v>0</v>
      </c>
      <c r="U331" s="779">
        <v>0</v>
      </c>
      <c r="V331" s="779">
        <v>0</v>
      </c>
    </row>
    <row r="332" spans="2:24" outlineLevel="1">
      <c r="B332" s="799" t="s">
        <v>1009</v>
      </c>
      <c r="C332" s="771">
        <f>IF('R6a - Net Debt input'!D194 = "","",'R6a - Net Debt input'!D194)</f>
        <v>42654</v>
      </c>
      <c r="D332" s="771">
        <f>IF('R6a - Net Debt input'!E194 = "","",'R6a - Net Debt input'!E194)</f>
        <v>50538</v>
      </c>
      <c r="E332" s="1051" t="str">
        <f>IF('R6a - Net Debt input'!F194 = "","",'R6a - Net Debt input'!F194)</f>
        <v>21.6 YR SWAP: PAY 6.00000% GBP RCV 6M Libor +474 bp GBP 18.0 M MAT: 13-MAY-2038</v>
      </c>
      <c r="F332" s="1051"/>
      <c r="G332" s="1051"/>
      <c r="H332" s="1051"/>
      <c r="I332" s="1051"/>
      <c r="L332" s="772"/>
      <c r="M332" s="779">
        <v>-0.4</v>
      </c>
      <c r="N332" s="779">
        <v>0</v>
      </c>
      <c r="O332" s="779">
        <v>0</v>
      </c>
      <c r="P332" s="779">
        <v>0</v>
      </c>
      <c r="Q332" s="779">
        <v>0</v>
      </c>
      <c r="R332" s="779">
        <v>0</v>
      </c>
      <c r="S332" s="779">
        <v>0</v>
      </c>
      <c r="T332" s="779">
        <v>0</v>
      </c>
      <c r="U332" s="779">
        <v>0</v>
      </c>
      <c r="V332" s="779">
        <v>0</v>
      </c>
    </row>
    <row r="333" spans="2:24" outlineLevel="1">
      <c r="B333" s="799" t="s">
        <v>1010</v>
      </c>
      <c r="C333" s="771">
        <f>IF('R6a - Net Debt input'!D195 = "","",'R6a - Net Debt input'!D195)</f>
        <v>36977</v>
      </c>
      <c r="D333" s="771">
        <f>IF('R6a - Net Debt input'!E195 = "","",'R6a - Net Debt input'!E195)</f>
        <v>47434</v>
      </c>
      <c r="E333" s="1051" t="str">
        <f>IF('R6a - Net Debt input'!F195 = "","",'R6a - Net Debt input'!F195)</f>
        <v>28.6 YR SWAP: PAY 5.63500% GBP RCV 6M Libor +39 bp GBP 10.0 M MAT: 12-NOV-2029</v>
      </c>
      <c r="F333" s="1051"/>
      <c r="G333" s="1051"/>
      <c r="H333" s="1051"/>
      <c r="I333" s="1051"/>
      <c r="L333" s="772"/>
      <c r="M333" s="779">
        <v>0.3</v>
      </c>
      <c r="N333" s="779">
        <v>0</v>
      </c>
      <c r="O333" s="779">
        <v>0</v>
      </c>
      <c r="P333" s="779">
        <v>0</v>
      </c>
      <c r="Q333" s="779">
        <v>0</v>
      </c>
      <c r="R333" s="779">
        <v>0</v>
      </c>
      <c r="S333" s="779">
        <v>0</v>
      </c>
      <c r="T333" s="779">
        <v>0</v>
      </c>
      <c r="U333" s="779">
        <v>0</v>
      </c>
      <c r="V333" s="779">
        <v>0</v>
      </c>
    </row>
    <row r="334" spans="2:24" outlineLevel="1">
      <c r="B334" s="799" t="s">
        <v>1011</v>
      </c>
      <c r="C334" s="771">
        <f>IF('R6a - Net Debt input'!D196 = "","",'R6a - Net Debt input'!D196)</f>
        <v>37162</v>
      </c>
      <c r="D334" s="771">
        <f>IF('R6a - Net Debt input'!E196 = "","",'R6a - Net Debt input'!E196)</f>
        <v>47434</v>
      </c>
      <c r="E334" s="1051" t="str">
        <f>IF('R6a - Net Debt input'!F196 = "","",'R6a - Net Debt input'!F196)</f>
        <v>28.1 YR SWAP: PAY 5.64250% GBP RCV 6M Libor +39 bp GBP 9.8 M MAT: 12-NOV-2029</v>
      </c>
      <c r="F334" s="1051"/>
      <c r="G334" s="1051"/>
      <c r="H334" s="1051"/>
      <c r="I334" s="1051"/>
      <c r="L334" s="772"/>
      <c r="M334" s="779">
        <v>0.3</v>
      </c>
      <c r="N334" s="779">
        <v>0</v>
      </c>
      <c r="O334" s="779">
        <v>0</v>
      </c>
      <c r="P334" s="779">
        <v>0</v>
      </c>
      <c r="Q334" s="779">
        <v>0</v>
      </c>
      <c r="R334" s="779">
        <v>0</v>
      </c>
      <c r="S334" s="779">
        <v>0</v>
      </c>
      <c r="T334" s="779">
        <v>0</v>
      </c>
      <c r="U334" s="779">
        <v>0</v>
      </c>
      <c r="V334" s="779">
        <v>0</v>
      </c>
    </row>
    <row r="335" spans="2:24" outlineLevel="1">
      <c r="B335" s="799" t="s">
        <v>1012</v>
      </c>
      <c r="C335" s="771">
        <f>IF('R6a - Net Debt input'!D197 = "","",'R6a - Net Debt input'!D197)</f>
        <v>42278</v>
      </c>
      <c r="D335" s="771">
        <f>IF('R6a - Net Debt input'!E197 = "","",'R6a - Net Debt input'!E197)</f>
        <v>47434</v>
      </c>
      <c r="E335" s="1051" t="str">
        <f>IF('R6a - Net Debt input'!F197 = "","",'R6a - Net Debt input'!F197)</f>
        <v>14.1 YR SWAP: PAY 5.84500% GBP RCV 6M Libor +39 bp GBP 12.5 M MAT: 12-NOV-2029</v>
      </c>
      <c r="F335" s="1051"/>
      <c r="G335" s="1051"/>
      <c r="H335" s="1051"/>
      <c r="I335" s="1051"/>
      <c r="L335" s="772"/>
      <c r="M335" s="779">
        <v>0.4</v>
      </c>
      <c r="N335" s="779">
        <v>0</v>
      </c>
      <c r="O335" s="779">
        <v>0</v>
      </c>
      <c r="P335" s="779">
        <v>0</v>
      </c>
      <c r="Q335" s="779">
        <v>0</v>
      </c>
      <c r="R335" s="779">
        <v>0</v>
      </c>
      <c r="S335" s="779">
        <v>0</v>
      </c>
      <c r="T335" s="779">
        <v>0</v>
      </c>
      <c r="U335" s="779">
        <v>0</v>
      </c>
      <c r="V335" s="779">
        <v>0</v>
      </c>
    </row>
    <row r="336" spans="2:24" outlineLevel="1">
      <c r="B336" s="799" t="s">
        <v>1013</v>
      </c>
      <c r="C336" s="771">
        <f>IF('R6a - Net Debt input'!D198 = "","",'R6a - Net Debt input'!D198)</f>
        <v>36336</v>
      </c>
      <c r="D336" s="771">
        <f>IF('R6a - Net Debt input'!E198 = "","",'R6a - Net Debt input'!E198)</f>
        <v>44504</v>
      </c>
      <c r="E336" s="1051" t="str">
        <f>IF('R6a - Net Debt input'!F198 = "","",'R6a - Net Debt input'!F198)</f>
        <v>22.4 YR SWAP: PAY 6M Libor +337 bp GBP RCV 9.10498% GBP 26.8 M MAT: 04-NOV-2021</v>
      </c>
      <c r="F336" s="1051"/>
      <c r="G336" s="1051"/>
      <c r="H336" s="1051"/>
      <c r="I336" s="1051"/>
      <c r="L336" s="772"/>
      <c r="M336" s="779">
        <v>-6.6</v>
      </c>
      <c r="N336" s="779">
        <v>0</v>
      </c>
      <c r="O336" s="779">
        <v>0</v>
      </c>
      <c r="P336" s="779">
        <v>0</v>
      </c>
      <c r="Q336" s="779">
        <v>0</v>
      </c>
      <c r="R336" s="779">
        <v>0</v>
      </c>
      <c r="S336" s="779">
        <v>0</v>
      </c>
      <c r="T336" s="779">
        <v>0</v>
      </c>
      <c r="U336" s="779">
        <v>0</v>
      </c>
      <c r="V336" s="779">
        <v>0</v>
      </c>
    </row>
    <row r="337" spans="2:22" outlineLevel="1">
      <c r="B337" s="799" t="s">
        <v>1014</v>
      </c>
      <c r="C337" s="771">
        <f>IF('R6a - Net Debt input'!D199 = "","",'R6a - Net Debt input'!D199)</f>
        <v>36556</v>
      </c>
      <c r="D337" s="771">
        <f>IF('R6a - Net Debt input'!E199 = "","",'R6a - Net Debt input'!E199)</f>
        <v>44504</v>
      </c>
      <c r="E337" s="1051" t="str">
        <f>IF('R6a - Net Debt input'!F199 = "","",'R6a - Net Debt input'!F199)</f>
        <v>21.8 YR SWAP: PAY 6M Libor +162 bp GBP RCV 7.41043% GBP 40.0 M MAT: 04-NOV-2021</v>
      </c>
      <c r="F337" s="1051"/>
      <c r="G337" s="1051"/>
      <c r="H337" s="1051"/>
      <c r="I337" s="1051"/>
      <c r="L337" s="772"/>
      <c r="M337" s="779">
        <v>-6</v>
      </c>
      <c r="N337" s="779">
        <v>0</v>
      </c>
      <c r="O337" s="779">
        <v>0</v>
      </c>
      <c r="P337" s="779">
        <v>0</v>
      </c>
      <c r="Q337" s="779">
        <v>0</v>
      </c>
      <c r="R337" s="779">
        <v>0</v>
      </c>
      <c r="S337" s="779">
        <v>0</v>
      </c>
      <c r="T337" s="779">
        <v>0</v>
      </c>
      <c r="U337" s="779">
        <v>0</v>
      </c>
      <c r="V337" s="779">
        <v>0</v>
      </c>
    </row>
    <row r="338" spans="2:22" outlineLevel="1">
      <c r="B338" s="799" t="s">
        <v>1015</v>
      </c>
      <c r="C338" s="771">
        <f>IF('R6a - Net Debt input'!D200 = "","",'R6a - Net Debt input'!D200)</f>
        <v>43292</v>
      </c>
      <c r="D338" s="771">
        <f>IF('R6a - Net Debt input'!E200 = "","",'R6a - Net Debt input'!E200)</f>
        <v>47200</v>
      </c>
      <c r="E338" s="1051" t="str">
        <f>IF('R6a - Net Debt input'!F200 = "","",'R6a - Net Debt input'!F200)</f>
        <v>10.7 YR SWAP: PAY 1.79500% GBP RCV 3M Libor +30 bp GBP 52.2 M MAT: 23-MAR-2029</v>
      </c>
      <c r="F338" s="1051"/>
      <c r="G338" s="1051"/>
      <c r="H338" s="1051"/>
      <c r="I338" s="1051"/>
      <c r="L338" s="772"/>
      <c r="M338" s="779">
        <v>0.4</v>
      </c>
      <c r="N338" s="779">
        <v>0</v>
      </c>
      <c r="O338" s="779">
        <v>0</v>
      </c>
      <c r="P338" s="779">
        <v>0</v>
      </c>
      <c r="Q338" s="779">
        <v>0</v>
      </c>
      <c r="R338" s="779">
        <v>0</v>
      </c>
      <c r="S338" s="779">
        <v>0</v>
      </c>
      <c r="T338" s="779">
        <v>0</v>
      </c>
      <c r="U338" s="779">
        <v>0</v>
      </c>
      <c r="V338" s="779">
        <v>0</v>
      </c>
    </row>
    <row r="339" spans="2:22" outlineLevel="1">
      <c r="B339" s="799" t="s">
        <v>1016</v>
      </c>
      <c r="C339" s="771">
        <f>IF('R6a - Net Debt input'!D201 = "","",'R6a - Net Debt input'!D201)</f>
        <v>43293</v>
      </c>
      <c r="D339" s="771">
        <f>IF('R6a - Net Debt input'!E201 = "","",'R6a - Net Debt input'!E201)</f>
        <v>47434</v>
      </c>
      <c r="E339" s="1051" t="str">
        <f>IF('R6a - Net Debt input'!F201 = "","",'R6a - Net Debt input'!F201)</f>
        <v>11.3 YR SWAP: PAY 1.96000% GBP RCV 6M Libor +39 bp GBP 23.8 M MAT: 12-NOV-2029</v>
      </c>
      <c r="F339" s="1051"/>
      <c r="G339" s="1051"/>
      <c r="H339" s="1051"/>
      <c r="I339" s="1051"/>
      <c r="L339" s="772"/>
      <c r="M339" s="779">
        <v>0.2</v>
      </c>
      <c r="N339" s="779">
        <v>0</v>
      </c>
      <c r="O339" s="779">
        <v>0</v>
      </c>
      <c r="P339" s="779">
        <v>0</v>
      </c>
      <c r="Q339" s="779">
        <v>0</v>
      </c>
      <c r="R339" s="779">
        <v>0</v>
      </c>
      <c r="S339" s="779">
        <v>0</v>
      </c>
      <c r="T339" s="779">
        <v>0</v>
      </c>
      <c r="U339" s="779">
        <v>0</v>
      </c>
      <c r="V339" s="779">
        <v>0</v>
      </c>
    </row>
    <row r="340" spans="2:22" outlineLevel="1">
      <c r="B340" s="799" t="s">
        <v>1017</v>
      </c>
      <c r="C340" s="771">
        <f>IF('R6a - Net Debt input'!D202 = "","",'R6a - Net Debt input'!D202)</f>
        <v>43859</v>
      </c>
      <c r="D340" s="771">
        <f>IF('R6a - Net Debt input'!E202 = "","",'R6a - Net Debt input'!E202)</f>
        <v>47886</v>
      </c>
      <c r="E340" s="1051" t="str">
        <f>IF('R6a - Net Debt input'!F202 = "","",'R6a - Net Debt input'!F202)</f>
        <v>11.0 YR SWAP: RCV 1.37500% GBP PAY 6M Libor +61 bp GBP 40.0 M MAT: 07-FEB-2031</v>
      </c>
      <c r="F340" s="1051"/>
      <c r="G340" s="1051"/>
      <c r="H340" s="1051"/>
      <c r="I340" s="1051"/>
      <c r="L340" s="772"/>
      <c r="M340" s="779">
        <v>0.2</v>
      </c>
      <c r="N340" s="779">
        <v>0</v>
      </c>
      <c r="O340" s="779">
        <v>0</v>
      </c>
      <c r="P340" s="779">
        <v>0</v>
      </c>
      <c r="Q340" s="779">
        <v>0</v>
      </c>
      <c r="R340" s="779">
        <v>0</v>
      </c>
      <c r="S340" s="779">
        <v>0</v>
      </c>
      <c r="T340" s="779">
        <v>0</v>
      </c>
      <c r="U340" s="779">
        <v>0</v>
      </c>
      <c r="V340" s="779">
        <v>0</v>
      </c>
    </row>
    <row r="341" spans="2:22" outlineLevel="1">
      <c r="B341" s="799" t="s">
        <v>1018</v>
      </c>
      <c r="C341" s="771">
        <f>IF('R6a - Net Debt input'!D203 = "","",'R6a - Net Debt input'!D203)</f>
        <v>44203</v>
      </c>
      <c r="D341" s="771">
        <f>IF('R6a - Net Debt input'!E203 = "","",'R6a - Net Debt input'!E203)</f>
        <v>47886</v>
      </c>
      <c r="E341" s="1051" t="str">
        <f>IF('R6a - Net Debt input'!F203 = "","",'R6a - Net Debt input'!F203)</f>
        <v>10.1 YR SWAP: RCV 1.37500% GBP PAY 6M Libor +93 bp GBP 50.0 M MAT: 07-FEB-2031</v>
      </c>
      <c r="F341" s="1051"/>
      <c r="G341" s="1051"/>
      <c r="H341" s="1051"/>
      <c r="I341" s="1051"/>
      <c r="L341" s="772"/>
      <c r="M341" s="779">
        <v>0.3</v>
      </c>
      <c r="N341" s="779">
        <v>0</v>
      </c>
      <c r="O341" s="779">
        <v>0</v>
      </c>
      <c r="P341" s="779">
        <v>0</v>
      </c>
      <c r="Q341" s="779">
        <v>0</v>
      </c>
      <c r="R341" s="779">
        <v>0</v>
      </c>
      <c r="S341" s="779">
        <v>0</v>
      </c>
      <c r="T341" s="779">
        <v>0</v>
      </c>
      <c r="U341" s="779">
        <v>0</v>
      </c>
      <c r="V341" s="779">
        <v>0</v>
      </c>
    </row>
    <row r="342" spans="2:22" outlineLevel="1">
      <c r="B342" s="799" t="s">
        <v>1019</v>
      </c>
      <c r="C342" s="771">
        <f>IF('R6a - Net Debt input'!D204 = "","",'R6a - Net Debt input'!D204)</f>
        <v>44203</v>
      </c>
      <c r="D342" s="771">
        <f>IF('R6a - Net Debt input'!E204 = "","",'R6a - Net Debt input'!E204)</f>
        <v>47886</v>
      </c>
      <c r="E342" s="1051" t="str">
        <f>IF('R6a - Net Debt input'!F204 = "","",'R6a - Net Debt input'!F204)</f>
        <v>10.1 YR SWAP: RCV 1.37500% GBP PAY 6M Libor +92 bp GBP 35.0 M MAT: 07-FEB-2031</v>
      </c>
      <c r="F342" s="1051"/>
      <c r="G342" s="1051"/>
      <c r="H342" s="1051"/>
      <c r="I342" s="1051"/>
      <c r="L342" s="772"/>
      <c r="M342" s="779">
        <v>0.2</v>
      </c>
      <c r="N342" s="779">
        <v>0</v>
      </c>
      <c r="O342" s="779">
        <v>0</v>
      </c>
      <c r="P342" s="779">
        <v>0</v>
      </c>
      <c r="Q342" s="779">
        <v>0</v>
      </c>
      <c r="R342" s="779">
        <v>0</v>
      </c>
      <c r="S342" s="779">
        <v>0</v>
      </c>
      <c r="T342" s="779">
        <v>0</v>
      </c>
      <c r="U342" s="779">
        <v>0</v>
      </c>
      <c r="V342" s="779">
        <v>0</v>
      </c>
    </row>
    <row r="343" spans="2:22" outlineLevel="1">
      <c r="B343" s="799" t="s">
        <v>1020</v>
      </c>
      <c r="C343" s="771">
        <f>IF('R6a - Net Debt input'!D205 = "","",'R6a - Net Debt input'!D205)</f>
        <v>44204</v>
      </c>
      <c r="D343" s="771">
        <f>IF('R6a - Net Debt input'!E205 = "","",'R6a - Net Debt input'!E205)</f>
        <v>52245</v>
      </c>
      <c r="E343" s="1051" t="str">
        <f>IF('R6a - Net Debt input'!F205 = "","",'R6a - Net Debt input'!F205)</f>
        <v>22 YR SWAP: RCV 1.62500% GBP PAY 6M Libor +94 bp GBP 37.5 M MAT: 14-JAN-2043</v>
      </c>
      <c r="F343" s="1051"/>
      <c r="G343" s="1051"/>
      <c r="H343" s="1051"/>
      <c r="I343" s="1051"/>
      <c r="L343" s="772"/>
      <c r="M343" s="779">
        <v>0.2</v>
      </c>
      <c r="N343" s="779">
        <v>0</v>
      </c>
      <c r="O343" s="779">
        <v>0</v>
      </c>
      <c r="P343" s="779">
        <v>0</v>
      </c>
      <c r="Q343" s="779">
        <v>0</v>
      </c>
      <c r="R343" s="779">
        <v>0</v>
      </c>
      <c r="S343" s="779">
        <v>0</v>
      </c>
      <c r="T343" s="779">
        <v>0</v>
      </c>
      <c r="U343" s="779">
        <v>0</v>
      </c>
      <c r="V343" s="779">
        <v>0</v>
      </c>
    </row>
    <row r="344" spans="2:22" outlineLevel="1">
      <c r="B344" s="799" t="s">
        <v>1021</v>
      </c>
      <c r="C344" s="771">
        <f>IF('R6a - Net Debt input'!D206 = "","",'R6a - Net Debt input'!D206)</f>
        <v>44204</v>
      </c>
      <c r="D344" s="771">
        <f>IF('R6a - Net Debt input'!E206 = "","",'R6a - Net Debt input'!E206)</f>
        <v>52245</v>
      </c>
      <c r="E344" s="1051" t="str">
        <f>IF('R6a - Net Debt input'!F206 = "","",'R6a - Net Debt input'!F206)</f>
        <v>22 YR SWAP: RCV 1.62500% GBP PAY 6M Libor +94 bp GBP 37.5 M MAT: 14-JAN-2043</v>
      </c>
      <c r="F344" s="1051"/>
      <c r="G344" s="1051"/>
      <c r="H344" s="1051"/>
      <c r="I344" s="1051"/>
      <c r="L344" s="772"/>
      <c r="M344" s="779">
        <v>0.2</v>
      </c>
      <c r="N344" s="779">
        <v>0</v>
      </c>
      <c r="O344" s="779">
        <v>0</v>
      </c>
      <c r="P344" s="779">
        <v>0</v>
      </c>
      <c r="Q344" s="779">
        <v>0</v>
      </c>
      <c r="R344" s="779">
        <v>0</v>
      </c>
      <c r="S344" s="779">
        <v>0</v>
      </c>
      <c r="T344" s="779">
        <v>0</v>
      </c>
      <c r="U344" s="779">
        <v>0</v>
      </c>
      <c r="V344" s="779">
        <v>0</v>
      </c>
    </row>
    <row r="345" spans="2:22" outlineLevel="1">
      <c r="B345" s="799" t="s">
        <v>1022</v>
      </c>
      <c r="C345" s="771">
        <f>IF('R6a - Net Debt input'!D207 = "","",'R6a - Net Debt input'!D207)</f>
        <v>44321</v>
      </c>
      <c r="D345" s="771">
        <f>IF('R6a - Net Debt input'!E207 = "","",'R6a - Net Debt input'!E207)</f>
        <v>47886</v>
      </c>
      <c r="E345" s="1051" t="str">
        <f>IF('R6a - Net Debt input'!F207 = "","",'R6a - Net Debt input'!F207)</f>
        <v>10 YR SWAP: RCV 1.37500% GBP PAY 1D SONIA +88 bp GBP 40.0 M MAT: 07-FEB-2031</v>
      </c>
      <c r="F345" s="1051"/>
      <c r="G345" s="1051"/>
      <c r="H345" s="1051"/>
      <c r="I345" s="1051"/>
      <c r="L345" s="772"/>
      <c r="M345" s="779">
        <v>-0.4</v>
      </c>
      <c r="N345" s="779">
        <v>0.39136586000000001</v>
      </c>
      <c r="O345" s="779">
        <v>0.77102156999999993</v>
      </c>
      <c r="P345" s="779">
        <v>0.61342324999999998</v>
      </c>
      <c r="Q345" s="779">
        <v>0.50589878999999993</v>
      </c>
      <c r="R345" s="779">
        <v>0.44374963000000001</v>
      </c>
      <c r="S345" s="779">
        <v>0.38697138000000003</v>
      </c>
      <c r="T345" s="779">
        <v>0.34936527000000001</v>
      </c>
      <c r="U345" s="779">
        <v>0.35235369999999999</v>
      </c>
      <c r="V345" s="779">
        <v>0.31165541999999996</v>
      </c>
    </row>
    <row r="346" spans="2:22" outlineLevel="1">
      <c r="B346" s="799" t="s">
        <v>1023</v>
      </c>
      <c r="C346" s="771">
        <f>IF('R6a - Net Debt input'!D208 = "","",'R6a - Net Debt input'!D208)</f>
        <v>44321</v>
      </c>
      <c r="D346" s="771">
        <f>IF('R6a - Net Debt input'!E208 = "","",'R6a - Net Debt input'!E208)</f>
        <v>47886</v>
      </c>
      <c r="E346" s="1051" t="str">
        <f>IF('R6a - Net Debt input'!F208 = "","",'R6a - Net Debt input'!F208)</f>
        <v>10 YR SWAP: RCV 1.37500% GBP PAY 1D SONIA +120 bp GBP 50.0 M MAT: 07-FEB-2031</v>
      </c>
      <c r="F346" s="1051"/>
      <c r="G346" s="1051"/>
      <c r="H346" s="1051"/>
      <c r="I346" s="1051"/>
      <c r="L346" s="772"/>
      <c r="M346" s="779">
        <v>-0.3</v>
      </c>
      <c r="N346" s="779">
        <v>0.64732793</v>
      </c>
      <c r="O346" s="779">
        <v>1.1227663600000002</v>
      </c>
      <c r="P346" s="779">
        <v>0.9253340699999999</v>
      </c>
      <c r="Q346" s="779">
        <v>0.79092850000000003</v>
      </c>
      <c r="R346" s="779">
        <v>0.71324204000000002</v>
      </c>
      <c r="S346" s="779">
        <v>0.64270362000000003</v>
      </c>
      <c r="T346" s="779">
        <v>0.59526159999999995</v>
      </c>
      <c r="U346" s="779">
        <v>0.59899712000000005</v>
      </c>
      <c r="V346" s="779">
        <v>0.52553561999999998</v>
      </c>
    </row>
    <row r="347" spans="2:22" outlineLevel="1">
      <c r="B347" s="799" t="s">
        <v>1024</v>
      </c>
      <c r="C347" s="771">
        <f>IF('R6a - Net Debt input'!D209 = "","",'R6a - Net Debt input'!D209)</f>
        <v>44321</v>
      </c>
      <c r="D347" s="771">
        <f>IF('R6a - Net Debt input'!E209 = "","",'R6a - Net Debt input'!E209)</f>
        <v>47886</v>
      </c>
      <c r="E347" s="1051" t="str">
        <f>IF('R6a - Net Debt input'!F209 = "","",'R6a - Net Debt input'!F209)</f>
        <v>10 YR SWAP: RCV 1.37500% GBP PAY 1D SONIA +119 bp GBP 35.0 M MAT: 07-FEB-2031</v>
      </c>
      <c r="F347" s="1051"/>
      <c r="G347" s="1051"/>
      <c r="H347" s="1051"/>
      <c r="I347" s="1051"/>
      <c r="L347" s="772"/>
      <c r="M347" s="779">
        <v>-0.2</v>
      </c>
      <c r="N347" s="779">
        <v>0.45100040000000002</v>
      </c>
      <c r="O347" s="779">
        <v>0.78379559999999993</v>
      </c>
      <c r="P347" s="779">
        <v>0.64559884999999995</v>
      </c>
      <c r="Q347" s="779">
        <v>0.55151494999999995</v>
      </c>
      <c r="R347" s="779">
        <v>0.49713441999999997</v>
      </c>
      <c r="S347" s="779">
        <v>0.44775167999999999</v>
      </c>
      <c r="T347" s="779">
        <v>0.41454812000000002</v>
      </c>
      <c r="U347" s="779">
        <v>0.41716297999999996</v>
      </c>
      <c r="V347" s="779">
        <v>0.36604409999999998</v>
      </c>
    </row>
    <row r="348" spans="2:22" outlineLevel="1">
      <c r="B348" s="799" t="s">
        <v>1025</v>
      </c>
      <c r="C348" s="771">
        <f>IF('R6a - Net Debt input'!D210 = "","",'R6a - Net Debt input'!D210)</f>
        <v>44321</v>
      </c>
      <c r="D348" s="771">
        <f>IF('R6a - Net Debt input'!E210 = "","",'R6a - Net Debt input'!E210)</f>
        <v>52245</v>
      </c>
      <c r="E348" s="1051" t="str">
        <f>IF('R6a - Net Debt input'!F210 = "","",'R6a - Net Debt input'!F210)</f>
        <v>22 YR SWAP: RCV 1.62500% GBP PAY 1D SONIA +122 bp GBP 37.5 M MAT: 14-JAN-2043</v>
      </c>
      <c r="F348" s="1051"/>
      <c r="G348" s="1051"/>
      <c r="H348" s="1051"/>
      <c r="I348" s="1051"/>
      <c r="L348" s="772"/>
      <c r="M348" s="779">
        <v>-0.4</v>
      </c>
      <c r="N348" s="779">
        <v>0</v>
      </c>
      <c r="O348" s="779">
        <v>0</v>
      </c>
      <c r="P348" s="779">
        <v>0</v>
      </c>
      <c r="Q348" s="779">
        <v>0</v>
      </c>
      <c r="R348" s="779">
        <v>0</v>
      </c>
      <c r="S348" s="779">
        <v>0</v>
      </c>
      <c r="T348" s="779">
        <v>0</v>
      </c>
      <c r="U348" s="779">
        <v>0</v>
      </c>
      <c r="V348" s="779">
        <v>0</v>
      </c>
    </row>
    <row r="349" spans="2:22" outlineLevel="1">
      <c r="B349" s="799" t="s">
        <v>1026</v>
      </c>
      <c r="C349" s="771">
        <f>IF('R6a - Net Debt input'!D211 = "","",'R6a - Net Debt input'!D211)</f>
        <v>44321</v>
      </c>
      <c r="D349" s="771">
        <f>IF('R6a - Net Debt input'!E211 = "","",'R6a - Net Debt input'!E211)</f>
        <v>52245</v>
      </c>
      <c r="E349" s="1051" t="str">
        <f>IF('R6a - Net Debt input'!F211 = "","",'R6a - Net Debt input'!F211)</f>
        <v>22 YR SWAP: RCV 1.62500% GBP PAY 1D SONIA +122 bp GBP 37.5 M MAT: 14-JAN-2043</v>
      </c>
      <c r="F349" s="1051"/>
      <c r="G349" s="1051"/>
      <c r="H349" s="1051"/>
      <c r="I349" s="1051"/>
      <c r="L349" s="772"/>
      <c r="M349" s="779">
        <v>-0.4</v>
      </c>
      <c r="N349" s="779">
        <v>0</v>
      </c>
      <c r="O349" s="779">
        <v>0</v>
      </c>
      <c r="P349" s="779">
        <v>0</v>
      </c>
      <c r="Q349" s="779">
        <v>0</v>
      </c>
      <c r="R349" s="779">
        <v>0</v>
      </c>
      <c r="S349" s="779">
        <v>0</v>
      </c>
      <c r="T349" s="779">
        <v>0</v>
      </c>
      <c r="U349" s="779">
        <v>0</v>
      </c>
      <c r="V349" s="779">
        <v>0</v>
      </c>
    </row>
    <row r="350" spans="2:22" outlineLevel="1">
      <c r="B350" s="799" t="s">
        <v>1027</v>
      </c>
      <c r="C350" s="771">
        <f>IF('R6a - Net Debt input'!D212 = "","",'R6a - Net Debt input'!D212)</f>
        <v>44357</v>
      </c>
      <c r="D350" s="771">
        <f>IF('R6a - Net Debt input'!E212 = "","",'R6a - Net Debt input'!E212)</f>
        <v>45642</v>
      </c>
      <c r="E350" s="1051" t="str">
        <f>IF('R6a - Net Debt input'!F212 = "","",'R6a - Net Debt input'!F212)</f>
        <v>3.5 YR SWAP: PAY 1D SONIA +287 bp GBP RCV 7.00000% GBP 5.0 M MAT: 16-DEC-2024</v>
      </c>
      <c r="F350" s="1051"/>
      <c r="G350" s="1051"/>
      <c r="H350" s="1051"/>
      <c r="I350" s="1051"/>
      <c r="L350" s="772"/>
      <c r="M350" s="779">
        <v>-0.3</v>
      </c>
      <c r="N350" s="779">
        <v>0</v>
      </c>
      <c r="O350" s="779">
        <v>0</v>
      </c>
      <c r="P350" s="779">
        <v>0</v>
      </c>
      <c r="Q350" s="779">
        <v>0</v>
      </c>
      <c r="R350" s="779">
        <v>0</v>
      </c>
      <c r="S350" s="779">
        <v>0</v>
      </c>
      <c r="T350" s="779">
        <v>0</v>
      </c>
      <c r="U350" s="779">
        <v>0</v>
      </c>
      <c r="V350" s="779">
        <v>0</v>
      </c>
    </row>
    <row r="351" spans="2:22" outlineLevel="1">
      <c r="B351" s="799" t="s">
        <v>1028</v>
      </c>
      <c r="C351" s="771">
        <f>IF('R6a - Net Debt input'!D213 = "","",'R6a - Net Debt input'!D213)</f>
        <v>44357</v>
      </c>
      <c r="D351" s="771">
        <f>IF('R6a - Net Debt input'!E213 = "","",'R6a - Net Debt input'!E213)</f>
        <v>45835</v>
      </c>
      <c r="E351" s="1051" t="str">
        <f>IF('R6a - Net Debt input'!F213 = "","",'R6a - Net Debt input'!F213)</f>
        <v>4.0 YR SWAP: PAY 1D SONIA +432 bp GBP RCV 8.75000% GBP 16.0 M MAT: 27-JUN-2025</v>
      </c>
      <c r="F351" s="1051"/>
      <c r="G351" s="1051"/>
      <c r="H351" s="1051"/>
      <c r="I351" s="1051"/>
      <c r="L351" s="772"/>
      <c r="M351" s="779">
        <v>-0.5</v>
      </c>
      <c r="N351" s="779">
        <v>-0.46859365999999997</v>
      </c>
      <c r="O351" s="779">
        <v>-0.32569779999999998</v>
      </c>
      <c r="P351" s="779">
        <v>-0.38430215999999995</v>
      </c>
      <c r="Q351" s="779">
        <v>-9.878431E-2</v>
      </c>
      <c r="R351" s="779">
        <v>0</v>
      </c>
      <c r="S351" s="779">
        <v>0</v>
      </c>
      <c r="T351" s="779">
        <v>0</v>
      </c>
      <c r="U351" s="779">
        <v>0</v>
      </c>
      <c r="V351" s="779">
        <v>0</v>
      </c>
    </row>
    <row r="352" spans="2:22" outlineLevel="1">
      <c r="B352" s="799" t="s">
        <v>1029</v>
      </c>
      <c r="C352" s="771">
        <f>IF('R6a - Net Debt input'!D214 = "","",'R6a - Net Debt input'!D214)</f>
        <v>44397</v>
      </c>
      <c r="D352" s="771">
        <f>IF('R6a - Net Debt input'!E214 = "","",'R6a - Net Debt input'!E214)</f>
        <v>50538</v>
      </c>
      <c r="E352" s="1051" t="str">
        <f>IF('R6a - Net Debt input'!F214 = "","",'R6a - Net Debt input'!F214)</f>
        <v>16.5 YR SWAP: PAY 1D SONIA +148 bp GBP RCV 6.00000% GBP 15.0 M MAT: 13-MAY-2038</v>
      </c>
      <c r="F352" s="1051"/>
      <c r="G352" s="1051"/>
      <c r="H352" s="1051"/>
      <c r="I352" s="1051"/>
      <c r="L352" s="772"/>
      <c r="M352" s="779">
        <v>-0.7</v>
      </c>
      <c r="N352" s="779">
        <v>-0.4457218</v>
      </c>
      <c r="O352" s="779">
        <v>-0.3234496</v>
      </c>
      <c r="P352" s="779">
        <v>-0.37477752000000003</v>
      </c>
      <c r="Q352" s="779">
        <v>-0.41542765999999998</v>
      </c>
      <c r="R352" s="779">
        <v>-0.43801804</v>
      </c>
      <c r="S352" s="779">
        <v>-0.45932552000000004</v>
      </c>
      <c r="T352" s="779">
        <v>-0.47371193</v>
      </c>
      <c r="U352" s="779">
        <v>-0.47261834000000003</v>
      </c>
      <c r="V352" s="779">
        <v>-0.46758903999999996</v>
      </c>
    </row>
    <row r="353" spans="2:22" outlineLevel="1">
      <c r="B353" s="799" t="s">
        <v>1030</v>
      </c>
      <c r="C353" s="771">
        <f>IF('R6a - Net Debt input'!D215 = "","",'R6a - Net Debt input'!D215)</f>
        <v>44397</v>
      </c>
      <c r="D353" s="771">
        <f>IF('R6a - Net Debt input'!E215 = "","",'R6a - Net Debt input'!E215)</f>
        <v>50538</v>
      </c>
      <c r="E353" s="1051" t="str">
        <f>IF('R6a - Net Debt input'!F215 = "","",'R6a - Net Debt input'!F215)</f>
        <v>16.5 YR SWAP: PAY 1D SONIA +145 bp GBP RCV 6.00000% GBP 15.0 M MAT: 13-MAY-2038</v>
      </c>
      <c r="F353" s="1051"/>
      <c r="G353" s="1051"/>
      <c r="H353" s="1051"/>
      <c r="I353" s="1051"/>
      <c r="L353" s="772"/>
      <c r="M353" s="779">
        <v>-0.7</v>
      </c>
      <c r="N353" s="779">
        <v>-0.45026929999999998</v>
      </c>
      <c r="O353" s="779">
        <v>-0.32802209000000004</v>
      </c>
      <c r="P353" s="779">
        <v>-0.37933752000000004</v>
      </c>
      <c r="Q353" s="779">
        <v>-0.41998765999999998</v>
      </c>
      <c r="R353" s="779">
        <v>-0.44257804000000001</v>
      </c>
      <c r="S353" s="779">
        <v>-0.46389801000000003</v>
      </c>
      <c r="T353" s="779">
        <v>-0.47827193000000001</v>
      </c>
      <c r="U353" s="779">
        <v>-0.47717834999999997</v>
      </c>
      <c r="V353" s="779">
        <v>-0.47214903999999996</v>
      </c>
    </row>
    <row r="354" spans="2:22" outlineLevel="1">
      <c r="B354" s="799" t="s">
        <v>1031</v>
      </c>
      <c r="C354" s="771">
        <f>IF('R6a - Net Debt input'!D216 = "","",'R6a - Net Debt input'!D216)</f>
        <v>44397</v>
      </c>
      <c r="D354" s="771">
        <f>IF('R6a - Net Debt input'!E216 = "","",'R6a - Net Debt input'!E216)</f>
        <v>50538</v>
      </c>
      <c r="E354" s="1051" t="str">
        <f>IF('R6a - Net Debt input'!F216 = "","",'R6a - Net Debt input'!F216)</f>
        <v>16.5 YR SWAP: PAY 1D SONIA +237 bp GBP RCV 6.00000% GBP 18.0 M MAT: 13-MAY-2038</v>
      </c>
      <c r="F354" s="1051"/>
      <c r="G354" s="1051"/>
      <c r="H354" s="1051"/>
      <c r="I354" s="1051"/>
      <c r="L354" s="772"/>
      <c r="M354" s="779">
        <v>-0.8</v>
      </c>
      <c r="N354" s="779">
        <v>-0.37415366999999999</v>
      </c>
      <c r="O354" s="779">
        <v>-0.226544</v>
      </c>
      <c r="P354" s="779">
        <v>-0.28857902000000002</v>
      </c>
      <c r="Q354" s="779">
        <v>-0.33735918999999998</v>
      </c>
      <c r="R354" s="779">
        <v>-0.36446765000000003</v>
      </c>
      <c r="S354" s="779">
        <v>-0.38959510999999997</v>
      </c>
      <c r="T354" s="779">
        <v>-0.40730031</v>
      </c>
      <c r="U354" s="779">
        <v>-0.40598801000000001</v>
      </c>
      <c r="V354" s="779">
        <v>-0.39995284999999997</v>
      </c>
    </row>
    <row r="355" spans="2:22" outlineLevel="1">
      <c r="B355" s="799" t="s">
        <v>1032</v>
      </c>
      <c r="C355" s="771">
        <f>IF('R6a - Net Debt input'!D217 = "","",'R6a - Net Debt input'!D217)</f>
        <v>44397</v>
      </c>
      <c r="D355" s="771">
        <f>IF('R6a - Net Debt input'!E217 = "","",'R6a - Net Debt input'!E217)</f>
        <v>50538</v>
      </c>
      <c r="E355" s="1051" t="str">
        <f>IF('R6a - Net Debt input'!F217 = "","",'R6a - Net Debt input'!F217)</f>
        <v>16.5 YR SWAP: PAY 1D SONIA +241 bp GBP RCV 6.00000% GBP 13.0 M MAT: 13-MAY-2038</v>
      </c>
      <c r="F355" s="1051"/>
      <c r="G355" s="1051"/>
      <c r="H355" s="1051"/>
      <c r="I355" s="1051"/>
      <c r="L355" s="772"/>
      <c r="M355" s="779">
        <v>-0.6</v>
      </c>
      <c r="N355" s="779">
        <v>-0.26587903000000002</v>
      </c>
      <c r="O355" s="779">
        <v>-0.15924817999999999</v>
      </c>
      <c r="P355" s="779">
        <v>-0.20406317999999998</v>
      </c>
      <c r="Q355" s="779">
        <v>-0.23929329999999999</v>
      </c>
      <c r="R355" s="779">
        <v>-0.25887163000000002</v>
      </c>
      <c r="S355" s="779">
        <v>-0.27700731000000001</v>
      </c>
      <c r="T355" s="779">
        <v>-0.28980634000000005</v>
      </c>
      <c r="U355" s="779">
        <v>-0.28885856999999998</v>
      </c>
      <c r="V355" s="779">
        <v>-0.28449984</v>
      </c>
    </row>
    <row r="356" spans="2:22" outlineLevel="1">
      <c r="B356" s="799" t="s">
        <v>1033</v>
      </c>
      <c r="C356" s="771">
        <f>IF('R6a - Net Debt input'!D218 = "","",'R6a - Net Debt input'!D218)</f>
        <v>44397</v>
      </c>
      <c r="D356" s="771">
        <f>IF('R6a - Net Debt input'!E218 = "","",'R6a - Net Debt input'!E218)</f>
        <v>47200</v>
      </c>
      <c r="E356" s="1051" t="str">
        <f>IF('R6a - Net Debt input'!F218 = "","",'R6a - Net Debt input'!F218)</f>
        <v>7.5 YR SWAP: PAY 1.79500% GBP RCV 1D SONIA +42 bp GBP 52.2 M MAT: 23-MAR-2029</v>
      </c>
      <c r="F356" s="1051"/>
      <c r="G356" s="1051"/>
      <c r="H356" s="1051"/>
      <c r="I356" s="1051"/>
      <c r="L356" s="772"/>
      <c r="M356" s="779">
        <v>0.3</v>
      </c>
      <c r="N356" s="779">
        <v>-8.5865429999999993E-2</v>
      </c>
      <c r="O356" s="779">
        <v>-0.53800760000000003</v>
      </c>
      <c r="P356" s="779">
        <v>-0.32911765000000004</v>
      </c>
      <c r="Q356" s="779">
        <v>-0.19102064000000002</v>
      </c>
      <c r="R356" s="779">
        <v>-0.11634744999999999</v>
      </c>
      <c r="S356" s="779">
        <v>-3.8329550000000004E-2</v>
      </c>
      <c r="T356" s="779">
        <v>1.366592E-2</v>
      </c>
      <c r="U356" s="779">
        <v>0</v>
      </c>
      <c r="V356" s="779">
        <v>0</v>
      </c>
    </row>
    <row r="357" spans="2:22" outlineLevel="1">
      <c r="B357" s="799" t="s">
        <v>1034</v>
      </c>
      <c r="C357" s="771">
        <f>IF('R6a - Net Debt input'!D219 = "","",'R6a - Net Debt input'!D219)</f>
        <v>44439</v>
      </c>
      <c r="D357" s="771">
        <f>IF('R6a - Net Debt input'!E219 = "","",'R6a - Net Debt input'!E219)</f>
        <v>47434</v>
      </c>
      <c r="E357" s="1051" t="str">
        <f>IF('R6a - Net Debt input'!F219 = "","",'R6a - Net Debt input'!F219)</f>
        <v>8 YR SWAP: PAY 5.63500% GBP RCV 1D SONIA +65 bp GBP 10.0 M MAT: 12-NOV-2029</v>
      </c>
      <c r="F357" s="1051"/>
      <c r="G357" s="1051"/>
      <c r="H357" s="1051"/>
      <c r="I357" s="1051"/>
      <c r="L357" s="772"/>
      <c r="M357" s="779">
        <v>0.2</v>
      </c>
      <c r="N357" s="779">
        <v>0.34282052000000002</v>
      </c>
      <c r="O357" s="779">
        <v>0.26290896000000002</v>
      </c>
      <c r="P357" s="779">
        <v>0.29595765000000002</v>
      </c>
      <c r="Q357" s="779">
        <v>0.32262761000000001</v>
      </c>
      <c r="R357" s="779">
        <v>0.33784121</v>
      </c>
      <c r="S357" s="779">
        <v>0.35348174999999998</v>
      </c>
      <c r="T357" s="779">
        <v>0.36212293000000001</v>
      </c>
      <c r="U357" s="779">
        <v>0.22361560999999999</v>
      </c>
      <c r="V357" s="779">
        <v>0</v>
      </c>
    </row>
    <row r="358" spans="2:22" outlineLevel="1">
      <c r="B358" s="799" t="s">
        <v>1035</v>
      </c>
      <c r="C358" s="771">
        <f>IF('R6a - Net Debt input'!D220 = "","",'R6a - Net Debt input'!D220)</f>
        <v>44439</v>
      </c>
      <c r="D358" s="771">
        <f>IF('R6a - Net Debt input'!E220 = "","",'R6a - Net Debt input'!E220)</f>
        <v>47434</v>
      </c>
      <c r="E358" s="1051" t="str">
        <f>IF('R6a - Net Debt input'!F220 = "","",'R6a - Net Debt input'!F220)</f>
        <v>8 YR SWAP: PAY 5.64250% GBP RCV 1D SONIA +65 bp GBP 9.8 M MAT: 12-NOV-2029</v>
      </c>
      <c r="F358" s="1051"/>
      <c r="G358" s="1051"/>
      <c r="H358" s="1051"/>
      <c r="I358" s="1051"/>
      <c r="L358" s="772"/>
      <c r="M358" s="779">
        <v>0</v>
      </c>
      <c r="N358" s="779">
        <v>0.33496953999999995</v>
      </c>
      <c r="O358" s="779">
        <v>0.25705971</v>
      </c>
      <c r="P358" s="779">
        <v>0.28928021000000004</v>
      </c>
      <c r="Q358" s="779">
        <v>0.31528341999999998</v>
      </c>
      <c r="R358" s="779">
        <v>0.33011668</v>
      </c>
      <c r="S358" s="779">
        <v>0.34536817999999997</v>
      </c>
      <c r="T358" s="779">
        <v>0.35379135</v>
      </c>
      <c r="U358" s="779">
        <v>0.21847195999999999</v>
      </c>
      <c r="V358" s="779">
        <v>0</v>
      </c>
    </row>
    <row r="359" spans="2:22" outlineLevel="1">
      <c r="B359" s="799" t="s">
        <v>1036</v>
      </c>
      <c r="C359" s="771">
        <f>IF('R6a - Net Debt input'!D221 = "","",'R6a - Net Debt input'!D221)</f>
        <v>44397</v>
      </c>
      <c r="D359" s="771">
        <f>IF('R6a - Net Debt input'!E221 = "","",'R6a - Net Debt input'!E221)</f>
        <v>50538</v>
      </c>
      <c r="E359" s="1051" t="str">
        <f>IF('R6a - Net Debt input'!F221 = "","",'R6a - Net Debt input'!F221)</f>
        <v>17 YR SWAP: PAY 6.00000% GBP RCV 1D SONIA +501 bp GBP 18.0 M MAT: 13-MAY-2038</v>
      </c>
      <c r="F359" s="1051"/>
      <c r="G359" s="1051"/>
      <c r="H359" s="1051"/>
      <c r="I359" s="1051"/>
      <c r="L359" s="772"/>
      <c r="M359" s="779">
        <v>0.6</v>
      </c>
      <c r="N359" s="779">
        <v>0</v>
      </c>
      <c r="O359" s="779">
        <v>0</v>
      </c>
      <c r="P359" s="779">
        <v>0</v>
      </c>
      <c r="Q359" s="779">
        <v>0</v>
      </c>
      <c r="R359" s="779">
        <v>0</v>
      </c>
      <c r="S359" s="779">
        <v>0</v>
      </c>
      <c r="T359" s="779">
        <v>0</v>
      </c>
      <c r="U359" s="779">
        <v>0</v>
      </c>
      <c r="V359" s="779">
        <v>0</v>
      </c>
    </row>
    <row r="360" spans="2:22" outlineLevel="1">
      <c r="B360" s="799" t="s">
        <v>1037</v>
      </c>
      <c r="C360" s="771">
        <f>IF('R6a - Net Debt input'!D222 = "","",'R6a - Net Debt input'!D222)</f>
        <v>44439</v>
      </c>
      <c r="D360" s="771">
        <f>IF('R6a - Net Debt input'!E222 = "","",'R6a - Net Debt input'!E222)</f>
        <v>47434</v>
      </c>
      <c r="E360" s="1051" t="str">
        <f>IF('R6a - Net Debt input'!F222 = "","",'R6a - Net Debt input'!F222)</f>
        <v>8 YR SWAP: PAY 5.84500% GBP RCV 1D SONIA +65 bp GBP 12.5 M MAT: 12-NOV-2029</v>
      </c>
      <c r="F360" s="1051"/>
      <c r="G360" s="1051"/>
      <c r="H360" s="1051"/>
      <c r="I360" s="1051"/>
      <c r="L360" s="772"/>
      <c r="M360" s="779">
        <v>0.3</v>
      </c>
      <c r="N360" s="779">
        <v>0</v>
      </c>
      <c r="O360" s="779">
        <v>0</v>
      </c>
      <c r="P360" s="779">
        <v>0</v>
      </c>
      <c r="Q360" s="779">
        <v>0</v>
      </c>
      <c r="R360" s="779">
        <v>0</v>
      </c>
      <c r="S360" s="779">
        <v>0</v>
      </c>
      <c r="T360" s="779">
        <v>0</v>
      </c>
      <c r="U360" s="779">
        <v>0</v>
      </c>
      <c r="V360" s="779">
        <v>0</v>
      </c>
    </row>
    <row r="361" spans="2:22" outlineLevel="1">
      <c r="B361" s="799" t="s">
        <v>1038</v>
      </c>
      <c r="C361" s="771">
        <f>IF('R6a - Net Debt input'!D223 = "","",'R6a - Net Debt input'!D223)</f>
        <v>44439</v>
      </c>
      <c r="D361" s="771">
        <f>IF('R6a - Net Debt input'!E223 = "","",'R6a - Net Debt input'!E223)</f>
        <v>47434</v>
      </c>
      <c r="E361" s="1051" t="str">
        <f>IF('R6a - Net Debt input'!F223 = "","",'R6a - Net Debt input'!F223)</f>
        <v>8 YR SWAP: PAY 1.96000% GBP RCV 1D SONIA +65 bp GBP 23.8 M MAT: 12-NOV-2029</v>
      </c>
      <c r="F361" s="1051"/>
      <c r="G361" s="1051"/>
      <c r="H361" s="1051"/>
      <c r="I361" s="1051"/>
      <c r="L361" s="772"/>
      <c r="M361" s="779">
        <v>0</v>
      </c>
      <c r="N361" s="779">
        <v>0</v>
      </c>
      <c r="O361" s="779">
        <v>0</v>
      </c>
      <c r="P361" s="779">
        <v>0</v>
      </c>
      <c r="Q361" s="779">
        <v>0</v>
      </c>
      <c r="R361" s="779">
        <v>0</v>
      </c>
      <c r="S361" s="779">
        <v>0</v>
      </c>
      <c r="T361" s="779">
        <v>0</v>
      </c>
      <c r="U361" s="779">
        <v>0</v>
      </c>
      <c r="V361" s="779">
        <v>0</v>
      </c>
    </row>
    <row r="362" spans="2:22" outlineLevel="1">
      <c r="B362" s="799" t="s">
        <v>1039</v>
      </c>
      <c r="C362" s="771">
        <f>IF('R6a - Net Debt input'!D224 = "","",'R6a - Net Debt input'!D224)</f>
        <v>39647</v>
      </c>
      <c r="D362" s="771">
        <f>IF('R6a - Net Debt input'!E224 = "","",'R6a - Net Debt input'!E224)</f>
        <v>50538</v>
      </c>
      <c r="E362" s="1051" t="str">
        <f>IF('R6a - Net Debt input'!F224 = "","",'R6a - Net Debt input'!F224)</f>
        <v>29.8 YR SWAP: PAY 6M Libor +120 bp GBP RCV 6.00000% GBP 15.0 M MAT: 13-MAY-2038</v>
      </c>
      <c r="F362" s="1051"/>
      <c r="G362" s="1051"/>
      <c r="H362" s="1051"/>
      <c r="I362" s="1051"/>
      <c r="L362" s="360"/>
      <c r="M362" s="779">
        <v>0</v>
      </c>
      <c r="N362" s="779">
        <v>0</v>
      </c>
      <c r="O362" s="779">
        <v>0</v>
      </c>
      <c r="P362" s="779">
        <v>0</v>
      </c>
      <c r="Q362" s="779">
        <v>0</v>
      </c>
      <c r="R362" s="779">
        <v>0</v>
      </c>
      <c r="S362" s="779">
        <v>0</v>
      </c>
      <c r="T362" s="779">
        <v>0</v>
      </c>
      <c r="U362" s="779">
        <v>0</v>
      </c>
      <c r="V362" s="779">
        <v>0</v>
      </c>
    </row>
    <row r="363" spans="2:22" outlineLevel="1">
      <c r="B363" s="799" t="s">
        <v>1040</v>
      </c>
      <c r="C363" s="771">
        <f>IF('R6a - Net Debt input'!D225 = "","",'R6a - Net Debt input'!D225)</f>
        <v>39647</v>
      </c>
      <c r="D363" s="771">
        <f>IF('R6a - Net Debt input'!E225 = "","",'R6a - Net Debt input'!E225)</f>
        <v>50538</v>
      </c>
      <c r="E363" s="1051" t="str">
        <f>IF('R6a - Net Debt input'!F225 = "","",'R6a - Net Debt input'!F225)</f>
        <v>29.8 YR SWAP: PAY 6M Libor +117 bp GBP RCV 6.00000% GBP 15.0 M MAT: 13-MAY-2038</v>
      </c>
      <c r="F363" s="1051"/>
      <c r="G363" s="1051"/>
      <c r="H363" s="1051"/>
      <c r="I363" s="1051"/>
      <c r="L363" s="360"/>
      <c r="M363" s="779">
        <v>0</v>
      </c>
      <c r="N363" s="779">
        <v>0</v>
      </c>
      <c r="O363" s="779">
        <v>0</v>
      </c>
      <c r="P363" s="779">
        <v>0</v>
      </c>
      <c r="Q363" s="779">
        <v>0</v>
      </c>
      <c r="R363" s="779">
        <v>0</v>
      </c>
      <c r="S363" s="779">
        <v>0</v>
      </c>
      <c r="T363" s="779">
        <v>0</v>
      </c>
      <c r="U363" s="779">
        <v>0</v>
      </c>
      <c r="V363" s="779">
        <v>0</v>
      </c>
    </row>
    <row r="364" spans="2:22">
      <c r="B364" s="117"/>
      <c r="E364" s="117"/>
      <c r="F364" s="117"/>
      <c r="G364" s="117"/>
      <c r="H364" s="117"/>
      <c r="L364" s="537" t="s">
        <v>497</v>
      </c>
      <c r="M364" s="780">
        <f t="shared" ref="M364:V364" si="67">SUM(M328:M363)</f>
        <v>-14.100000000000001</v>
      </c>
      <c r="N364" s="780">
        <f t="shared" si="67"/>
        <v>7.7001359999999908E-2</v>
      </c>
      <c r="O364" s="780">
        <f t="shared" si="67"/>
        <v>1.29658293</v>
      </c>
      <c r="P364" s="780">
        <f t="shared" si="67"/>
        <v>0.80941697999999973</v>
      </c>
      <c r="Q364" s="780">
        <f t="shared" si="67"/>
        <v>0.78438050999999986</v>
      </c>
      <c r="R364" s="780">
        <f t="shared" si="67"/>
        <v>0.70180116999999997</v>
      </c>
      <c r="S364" s="780">
        <f t="shared" si="67"/>
        <v>0.54812110999999997</v>
      </c>
      <c r="T364" s="780">
        <f t="shared" si="67"/>
        <v>0.43966468000000003</v>
      </c>
      <c r="U364" s="780">
        <f t="shared" si="67"/>
        <v>0.16595810000000011</v>
      </c>
      <c r="V364" s="780">
        <f t="shared" si="67"/>
        <v>-0.42095563000000008</v>
      </c>
    </row>
    <row r="365" spans="2:22">
      <c r="B365" s="117"/>
    </row>
    <row r="366" spans="2:22" ht="17.5" outlineLevel="1">
      <c r="C366" s="98"/>
      <c r="D366" s="166" t="s">
        <v>403</v>
      </c>
      <c r="E366" s="167"/>
      <c r="F366" s="167"/>
      <c r="G366" s="167"/>
      <c r="H366" s="167"/>
      <c r="I366" s="167"/>
      <c r="J366" s="167"/>
      <c r="K366" s="167"/>
      <c r="L366" s="193"/>
      <c r="M366" s="167"/>
      <c r="N366" s="167"/>
      <c r="O366" s="167"/>
      <c r="P366" s="167"/>
      <c r="Q366" s="167"/>
      <c r="R366" s="167"/>
      <c r="S366" s="167"/>
      <c r="T366" s="167"/>
      <c r="U366" s="180"/>
      <c r="V366" s="167"/>
    </row>
    <row r="367" spans="2:22">
      <c r="B367" s="117"/>
    </row>
    <row r="368" spans="2:22" ht="32.25" customHeight="1" outlineLevel="1">
      <c r="B368" s="726"/>
      <c r="C368" s="536" t="s">
        <v>469</v>
      </c>
      <c r="D368" s="536" t="s">
        <v>470</v>
      </c>
      <c r="E368" s="1058" t="s">
        <v>471</v>
      </c>
      <c r="F368" s="1058" t="s">
        <v>483</v>
      </c>
      <c r="G368" s="1058" t="s">
        <v>484</v>
      </c>
      <c r="H368" s="1058" t="s">
        <v>485</v>
      </c>
      <c r="I368" s="1058" t="s">
        <v>486</v>
      </c>
      <c r="L368" s="360"/>
      <c r="U368" s="179"/>
    </row>
    <row r="369" spans="2:22" s="256" customFormat="1" ht="53.25" customHeight="1" outlineLevel="1">
      <c r="B369" s="727" t="s">
        <v>397</v>
      </c>
      <c r="C369" s="728" t="s">
        <v>472</v>
      </c>
      <c r="D369" s="728" t="s">
        <v>472</v>
      </c>
      <c r="E369" s="1058"/>
      <c r="F369" s="1058" t="s">
        <v>136</v>
      </c>
      <c r="G369" s="1058" t="s">
        <v>136</v>
      </c>
      <c r="H369" s="1058" t="s">
        <v>398</v>
      </c>
      <c r="I369" s="1058" t="s">
        <v>487</v>
      </c>
      <c r="J369" s="99"/>
      <c r="K369" s="99"/>
      <c r="L369" s="251"/>
      <c r="M369" s="252" t="s">
        <v>398</v>
      </c>
      <c r="N369" s="253" t="s">
        <v>398</v>
      </c>
      <c r="O369" s="253" t="s">
        <v>398</v>
      </c>
      <c r="P369" s="253" t="s">
        <v>398</v>
      </c>
      <c r="Q369" s="253" t="s">
        <v>398</v>
      </c>
      <c r="R369" s="253" t="s">
        <v>398</v>
      </c>
      <c r="S369" s="253" t="s">
        <v>398</v>
      </c>
      <c r="T369" s="254" t="s">
        <v>398</v>
      </c>
      <c r="U369" s="255" t="s">
        <v>398</v>
      </c>
      <c r="V369" s="253" t="s">
        <v>398</v>
      </c>
    </row>
    <row r="370" spans="2:22" outlineLevel="1">
      <c r="B370" s="799" t="s">
        <v>490</v>
      </c>
      <c r="C370" s="702">
        <f>IF('R6a - Net Debt input'!D190 = "","",'R6a - Net Debt input'!D190)</f>
        <v>38810</v>
      </c>
      <c r="D370" s="702">
        <f>IF('R6a - Net Debt input'!E190 = "","",'R6a - Net Debt input'!E190)</f>
        <v>45835</v>
      </c>
      <c r="E370" s="1051" t="str">
        <f>IF('R6a - Net Debt input'!F190 = "","",'R6a - Net Debt input'!F190)</f>
        <v>19.2 YR SWAP: PAY 6M Libor +409 bp GBP RCV 8.75000% GBP 20.0 M MAT: 27-JUN-2025</v>
      </c>
      <c r="F370" s="1051"/>
      <c r="G370" s="1051"/>
      <c r="H370" s="1051"/>
      <c r="I370" s="1051"/>
      <c r="L370" s="360"/>
      <c r="M370" s="779">
        <v>-1.1000000000000001</v>
      </c>
      <c r="N370" s="779">
        <v>0</v>
      </c>
      <c r="O370" s="779">
        <v>0</v>
      </c>
      <c r="P370" s="779">
        <v>0</v>
      </c>
      <c r="Q370" s="779">
        <v>0</v>
      </c>
      <c r="R370" s="779">
        <v>0</v>
      </c>
      <c r="S370" s="779">
        <v>0</v>
      </c>
      <c r="T370" s="779">
        <v>0</v>
      </c>
      <c r="U370" s="779">
        <v>0</v>
      </c>
      <c r="V370" s="779">
        <v>0</v>
      </c>
    </row>
    <row r="371" spans="2:22" outlineLevel="1">
      <c r="B371" s="799" t="s">
        <v>496</v>
      </c>
      <c r="C371" s="771">
        <f>IF('R6a - Net Debt input'!D191 = "","",'R6a - Net Debt input'!D191)</f>
        <v>39338</v>
      </c>
      <c r="D371" s="771">
        <f>IF('R6a - Net Debt input'!E191 = "","",'R6a - Net Debt input'!E191)</f>
        <v>45642</v>
      </c>
      <c r="E371" s="1051" t="str">
        <f>IF('R6a - Net Debt input'!F191 = "","",'R6a - Net Debt input'!F191)</f>
        <v>17.3 YR SWAP: PAY 6M Libor +265 bp GBP RCV 7.00000% GBP 20.0 M MAT: 16-DEC-2024</v>
      </c>
      <c r="F371" s="1051"/>
      <c r="G371" s="1051"/>
      <c r="H371" s="1051"/>
      <c r="I371" s="1051"/>
      <c r="L371" s="360"/>
      <c r="M371" s="779">
        <v>-0.1</v>
      </c>
      <c r="N371" s="779">
        <v>0</v>
      </c>
      <c r="O371" s="779">
        <v>0</v>
      </c>
      <c r="P371" s="779">
        <v>0</v>
      </c>
      <c r="Q371" s="779">
        <v>0</v>
      </c>
      <c r="R371" s="779">
        <v>0</v>
      </c>
      <c r="S371" s="779">
        <v>0</v>
      </c>
      <c r="T371" s="779">
        <v>0</v>
      </c>
      <c r="U371" s="779">
        <v>0</v>
      </c>
      <c r="V371" s="779">
        <v>0</v>
      </c>
    </row>
    <row r="372" spans="2:22" outlineLevel="1">
      <c r="B372" s="799" t="s">
        <v>1007</v>
      </c>
      <c r="C372" s="771">
        <f>IF('R6a - Net Debt input'!D192 = "","",'R6a - Net Debt input'!D192)</f>
        <v>39836</v>
      </c>
      <c r="D372" s="771">
        <f>IF('R6a - Net Debt input'!E192 = "","",'R6a - Net Debt input'!E192)</f>
        <v>50538</v>
      </c>
      <c r="E372" s="1051" t="str">
        <f>IF('R6a - Net Debt input'!F192 = "","",'R6a - Net Debt input'!F192)</f>
        <v>29.3 YR SWAP: PAY 6M Libor +213 bp GBP RCV 6.00000% GBP 23.0 M MAT: 13-MAY-2038</v>
      </c>
      <c r="F372" s="1051"/>
      <c r="G372" s="1051"/>
      <c r="H372" s="1051"/>
      <c r="I372" s="1051"/>
      <c r="L372" s="772"/>
      <c r="M372" s="779">
        <v>-0.9</v>
      </c>
      <c r="N372" s="779">
        <v>0</v>
      </c>
      <c r="O372" s="779">
        <v>0</v>
      </c>
      <c r="P372" s="779">
        <v>0</v>
      </c>
      <c r="Q372" s="779">
        <v>0</v>
      </c>
      <c r="R372" s="779">
        <v>0</v>
      </c>
      <c r="S372" s="779">
        <v>0</v>
      </c>
      <c r="T372" s="779">
        <v>0</v>
      </c>
      <c r="U372" s="779">
        <v>0</v>
      </c>
      <c r="V372" s="779">
        <v>0</v>
      </c>
    </row>
    <row r="373" spans="2:22" outlineLevel="1">
      <c r="B373" s="799" t="s">
        <v>1008</v>
      </c>
      <c r="C373" s="771">
        <f>IF('R6a - Net Debt input'!D193 = "","",'R6a - Net Debt input'!D193)</f>
        <v>40484</v>
      </c>
      <c r="D373" s="771">
        <f>IF('R6a - Net Debt input'!E193 = "","",'R6a - Net Debt input'!E193)</f>
        <v>50538</v>
      </c>
      <c r="E373" s="1051" t="str">
        <f>IF('R6a - Net Debt input'!F193 = "","",'R6a - Net Debt input'!F193)</f>
        <v>27.5 YR SWAP: PAY 6M Libor +210 bp GBP RCV 6.00000% GBP 18.0 M MAT: 13-MAY-2038</v>
      </c>
      <c r="F373" s="1051"/>
      <c r="G373" s="1051"/>
      <c r="H373" s="1051"/>
      <c r="I373" s="1051"/>
      <c r="L373" s="772"/>
      <c r="M373" s="779">
        <v>-1.2</v>
      </c>
      <c r="N373" s="779">
        <v>0</v>
      </c>
      <c r="O373" s="779">
        <v>0</v>
      </c>
      <c r="P373" s="779">
        <v>0</v>
      </c>
      <c r="Q373" s="779">
        <v>0</v>
      </c>
      <c r="R373" s="779">
        <v>0</v>
      </c>
      <c r="S373" s="779">
        <v>0</v>
      </c>
      <c r="T373" s="779">
        <v>0</v>
      </c>
      <c r="U373" s="779">
        <v>0</v>
      </c>
      <c r="V373" s="779">
        <v>0</v>
      </c>
    </row>
    <row r="374" spans="2:22" outlineLevel="1">
      <c r="B374" s="799" t="s">
        <v>1009</v>
      </c>
      <c r="C374" s="771">
        <f>IF('R6a - Net Debt input'!D194 = "","",'R6a - Net Debt input'!D194)</f>
        <v>42654</v>
      </c>
      <c r="D374" s="771">
        <f>IF('R6a - Net Debt input'!E194 = "","",'R6a - Net Debt input'!E194)</f>
        <v>50538</v>
      </c>
      <c r="E374" s="1051" t="str">
        <f>IF('R6a - Net Debt input'!F194 = "","",'R6a - Net Debt input'!F194)</f>
        <v>21.6 YR SWAP: PAY 6.00000% GBP RCV 6M Libor +474 bp GBP 18.0 M MAT: 13-MAY-2038</v>
      </c>
      <c r="F374" s="1051"/>
      <c r="G374" s="1051"/>
      <c r="H374" s="1051"/>
      <c r="I374" s="1051"/>
      <c r="L374" s="772"/>
      <c r="M374" s="779">
        <v>0.8</v>
      </c>
      <c r="N374" s="779">
        <v>0</v>
      </c>
      <c r="O374" s="779">
        <v>0</v>
      </c>
      <c r="P374" s="779">
        <v>0</v>
      </c>
      <c r="Q374" s="779">
        <v>0</v>
      </c>
      <c r="R374" s="779">
        <v>0</v>
      </c>
      <c r="S374" s="779">
        <v>0</v>
      </c>
      <c r="T374" s="779">
        <v>0</v>
      </c>
      <c r="U374" s="779">
        <v>0</v>
      </c>
      <c r="V374" s="779">
        <v>0</v>
      </c>
    </row>
    <row r="375" spans="2:22" outlineLevel="1">
      <c r="B375" s="799" t="s">
        <v>1010</v>
      </c>
      <c r="C375" s="771">
        <f>IF('R6a - Net Debt input'!D195 = "","",'R6a - Net Debt input'!D195)</f>
        <v>36977</v>
      </c>
      <c r="D375" s="771">
        <f>IF('R6a - Net Debt input'!E195 = "","",'R6a - Net Debt input'!E195)</f>
        <v>47434</v>
      </c>
      <c r="E375" s="1051" t="str">
        <f>IF('R6a - Net Debt input'!F195 = "","",'R6a - Net Debt input'!F195)</f>
        <v>28.6 YR SWAP: PAY 5.63500% GBP RCV 6M Libor +39 bp GBP 10.0 M MAT: 12-NOV-2029</v>
      </c>
      <c r="F375" s="1051"/>
      <c r="G375" s="1051"/>
      <c r="H375" s="1051"/>
      <c r="I375" s="1051"/>
      <c r="L375" s="772"/>
      <c r="M375" s="779">
        <v>0.5</v>
      </c>
      <c r="N375" s="779">
        <v>0</v>
      </c>
      <c r="O375" s="779">
        <v>0</v>
      </c>
      <c r="P375" s="779">
        <v>0</v>
      </c>
      <c r="Q375" s="779">
        <v>0</v>
      </c>
      <c r="R375" s="779">
        <v>0</v>
      </c>
      <c r="S375" s="779">
        <v>0</v>
      </c>
      <c r="T375" s="779">
        <v>0</v>
      </c>
      <c r="U375" s="779">
        <v>0</v>
      </c>
      <c r="V375" s="779">
        <v>0</v>
      </c>
    </row>
    <row r="376" spans="2:22" outlineLevel="1">
      <c r="B376" s="799" t="s">
        <v>1011</v>
      </c>
      <c r="C376" s="771">
        <f>IF('R6a - Net Debt input'!D196 = "","",'R6a - Net Debt input'!D196)</f>
        <v>37162</v>
      </c>
      <c r="D376" s="771">
        <f>IF('R6a - Net Debt input'!E196 = "","",'R6a - Net Debt input'!E196)</f>
        <v>47434</v>
      </c>
      <c r="E376" s="1051" t="str">
        <f>IF('R6a - Net Debt input'!F196 = "","",'R6a - Net Debt input'!F196)</f>
        <v>28.1 YR SWAP: PAY 5.64250% GBP RCV 6M Libor +39 bp GBP 9.8 M MAT: 12-NOV-2029</v>
      </c>
      <c r="F376" s="1051"/>
      <c r="G376" s="1051"/>
      <c r="H376" s="1051"/>
      <c r="I376" s="1051"/>
      <c r="L376" s="772"/>
      <c r="M376" s="779">
        <v>0.5</v>
      </c>
      <c r="N376" s="779">
        <v>0</v>
      </c>
      <c r="O376" s="779">
        <v>0</v>
      </c>
      <c r="P376" s="779">
        <v>0</v>
      </c>
      <c r="Q376" s="779">
        <v>0</v>
      </c>
      <c r="R376" s="779">
        <v>0</v>
      </c>
      <c r="S376" s="779">
        <v>0</v>
      </c>
      <c r="T376" s="779">
        <v>0</v>
      </c>
      <c r="U376" s="779">
        <v>0</v>
      </c>
      <c r="V376" s="779">
        <v>0</v>
      </c>
    </row>
    <row r="377" spans="2:22" outlineLevel="1">
      <c r="B377" s="799" t="s">
        <v>1012</v>
      </c>
      <c r="C377" s="771">
        <f>IF('R6a - Net Debt input'!D197 = "","",'R6a - Net Debt input'!D197)</f>
        <v>42278</v>
      </c>
      <c r="D377" s="771">
        <f>IF('R6a - Net Debt input'!E197 = "","",'R6a - Net Debt input'!E197)</f>
        <v>47434</v>
      </c>
      <c r="E377" s="1051" t="str">
        <f>IF('R6a - Net Debt input'!F197 = "","",'R6a - Net Debt input'!F197)</f>
        <v>14.1 YR SWAP: PAY 5.84500% GBP RCV 6M Libor +39 bp GBP 12.5 M MAT: 12-NOV-2029</v>
      </c>
      <c r="F377" s="1051"/>
      <c r="G377" s="1051"/>
      <c r="H377" s="1051"/>
      <c r="I377" s="1051"/>
      <c r="L377" s="772"/>
      <c r="M377" s="779">
        <v>0.7</v>
      </c>
      <c r="N377" s="779">
        <v>0</v>
      </c>
      <c r="O377" s="779">
        <v>0</v>
      </c>
      <c r="P377" s="779">
        <v>0</v>
      </c>
      <c r="Q377" s="779">
        <v>0</v>
      </c>
      <c r="R377" s="779">
        <v>0</v>
      </c>
      <c r="S377" s="779">
        <v>0</v>
      </c>
      <c r="T377" s="779">
        <v>0</v>
      </c>
      <c r="U377" s="779">
        <v>0</v>
      </c>
      <c r="V377" s="779">
        <v>0</v>
      </c>
    </row>
    <row r="378" spans="2:22" outlineLevel="1">
      <c r="B378" s="799" t="s">
        <v>1013</v>
      </c>
      <c r="C378" s="771">
        <f>IF('R6a - Net Debt input'!D198 = "","",'R6a - Net Debt input'!D198)</f>
        <v>36336</v>
      </c>
      <c r="D378" s="771">
        <f>IF('R6a - Net Debt input'!E198 = "","",'R6a - Net Debt input'!E198)</f>
        <v>44504</v>
      </c>
      <c r="E378" s="1051" t="str">
        <f>IF('R6a - Net Debt input'!F198 = "","",'R6a - Net Debt input'!F198)</f>
        <v>22.4 YR SWAP: PAY 6M Libor +337 bp GBP RCV 9.10498% GBP 26.8 M MAT: 04-NOV-2021</v>
      </c>
      <c r="F378" s="1051"/>
      <c r="G378" s="1051"/>
      <c r="H378" s="1051"/>
      <c r="I378" s="1051"/>
      <c r="L378" s="772"/>
      <c r="M378" s="779">
        <v>0</v>
      </c>
      <c r="N378" s="779">
        <v>0</v>
      </c>
      <c r="O378" s="779">
        <v>0</v>
      </c>
      <c r="P378" s="779">
        <v>0</v>
      </c>
      <c r="Q378" s="779">
        <v>0</v>
      </c>
      <c r="R378" s="779">
        <v>0</v>
      </c>
      <c r="S378" s="779">
        <v>0</v>
      </c>
      <c r="T378" s="779">
        <v>0</v>
      </c>
      <c r="U378" s="779">
        <v>0</v>
      </c>
      <c r="V378" s="779">
        <v>0</v>
      </c>
    </row>
    <row r="379" spans="2:22" outlineLevel="1">
      <c r="B379" s="799" t="s">
        <v>1014</v>
      </c>
      <c r="C379" s="771">
        <f>IF('R6a - Net Debt input'!D199 = "","",'R6a - Net Debt input'!D199)</f>
        <v>36556</v>
      </c>
      <c r="D379" s="771">
        <f>IF('R6a - Net Debt input'!E199 = "","",'R6a - Net Debt input'!E199)</f>
        <v>44504</v>
      </c>
      <c r="E379" s="1051" t="str">
        <f>IF('R6a - Net Debt input'!F199 = "","",'R6a - Net Debt input'!F199)</f>
        <v>21.8 YR SWAP: PAY 6M Libor +162 bp GBP RCV 7.41043% GBP 40.0 M MAT: 04-NOV-2021</v>
      </c>
      <c r="F379" s="1051"/>
      <c r="G379" s="1051"/>
      <c r="H379" s="1051"/>
      <c r="I379" s="1051"/>
      <c r="L379" s="772"/>
      <c r="M379" s="779">
        <v>0</v>
      </c>
      <c r="N379" s="779">
        <v>0</v>
      </c>
      <c r="O379" s="779">
        <v>0</v>
      </c>
      <c r="P379" s="779">
        <v>0</v>
      </c>
      <c r="Q379" s="779">
        <v>0</v>
      </c>
      <c r="R379" s="779">
        <v>0</v>
      </c>
      <c r="S379" s="779">
        <v>0</v>
      </c>
      <c r="T379" s="779">
        <v>0</v>
      </c>
      <c r="U379" s="779">
        <v>0</v>
      </c>
      <c r="V379" s="779">
        <v>0</v>
      </c>
    </row>
    <row r="380" spans="2:22" outlineLevel="1">
      <c r="B380" s="799" t="s">
        <v>1015</v>
      </c>
      <c r="C380" s="771">
        <f>IF('R6a - Net Debt input'!D200 = "","",'R6a - Net Debt input'!D200)</f>
        <v>43292</v>
      </c>
      <c r="D380" s="771">
        <f>IF('R6a - Net Debt input'!E200 = "","",'R6a - Net Debt input'!E200)</f>
        <v>47200</v>
      </c>
      <c r="E380" s="1051" t="str">
        <f>IF('R6a - Net Debt input'!F200 = "","",'R6a - Net Debt input'!F200)</f>
        <v>10.7 YR SWAP: PAY 1.79500% GBP RCV 3M Libor +30 bp GBP 52.2 M MAT: 23-MAR-2029</v>
      </c>
      <c r="F380" s="1051"/>
      <c r="G380" s="1051"/>
      <c r="H380" s="1051"/>
      <c r="I380" s="1051"/>
      <c r="L380" s="772"/>
      <c r="M380" s="779">
        <v>0.4</v>
      </c>
      <c r="N380" s="779">
        <v>0</v>
      </c>
      <c r="O380" s="779">
        <v>0</v>
      </c>
      <c r="P380" s="779">
        <v>0</v>
      </c>
      <c r="Q380" s="779">
        <v>0</v>
      </c>
      <c r="R380" s="779">
        <v>0</v>
      </c>
      <c r="S380" s="779">
        <v>0</v>
      </c>
      <c r="T380" s="779">
        <v>0</v>
      </c>
      <c r="U380" s="779">
        <v>0</v>
      </c>
      <c r="V380" s="779">
        <v>0</v>
      </c>
    </row>
    <row r="381" spans="2:22" outlineLevel="1">
      <c r="B381" s="799" t="s">
        <v>1016</v>
      </c>
      <c r="C381" s="771">
        <f>IF('R6a - Net Debt input'!D201 = "","",'R6a - Net Debt input'!D201)</f>
        <v>43293</v>
      </c>
      <c r="D381" s="771">
        <f>IF('R6a - Net Debt input'!E201 = "","",'R6a - Net Debt input'!E201)</f>
        <v>47434</v>
      </c>
      <c r="E381" s="1051" t="str">
        <f>IF('R6a - Net Debt input'!F201 = "","",'R6a - Net Debt input'!F201)</f>
        <v>11.3 YR SWAP: PAY 1.96000% GBP RCV 6M Libor +39 bp GBP 23.8 M MAT: 12-NOV-2029</v>
      </c>
      <c r="F381" s="1051"/>
      <c r="G381" s="1051"/>
      <c r="H381" s="1051"/>
      <c r="I381" s="1051"/>
      <c r="L381" s="772"/>
      <c r="M381" s="779">
        <v>0.4</v>
      </c>
      <c r="N381" s="779">
        <v>0</v>
      </c>
      <c r="O381" s="779">
        <v>0</v>
      </c>
      <c r="P381" s="779">
        <v>0</v>
      </c>
      <c r="Q381" s="779">
        <v>0</v>
      </c>
      <c r="R381" s="779">
        <v>0</v>
      </c>
      <c r="S381" s="779">
        <v>0</v>
      </c>
      <c r="T381" s="779">
        <v>0</v>
      </c>
      <c r="U381" s="779">
        <v>0</v>
      </c>
      <c r="V381" s="779">
        <v>0</v>
      </c>
    </row>
    <row r="382" spans="2:22" outlineLevel="1">
      <c r="B382" s="799" t="s">
        <v>1017</v>
      </c>
      <c r="C382" s="771">
        <f>IF('R6a - Net Debt input'!D202 = "","",'R6a - Net Debt input'!D202)</f>
        <v>43859</v>
      </c>
      <c r="D382" s="771">
        <f>IF('R6a - Net Debt input'!E202 = "","",'R6a - Net Debt input'!E202)</f>
        <v>47886</v>
      </c>
      <c r="E382" s="1051" t="str">
        <f>IF('R6a - Net Debt input'!F202 = "","",'R6a - Net Debt input'!F202)</f>
        <v>11.0 YR SWAP: RCV 1.37500% GBP PAY 6M Libor +61 bp GBP 40.0 M MAT: 07-FEB-2031</v>
      </c>
      <c r="F382" s="1051"/>
      <c r="G382" s="1051"/>
      <c r="H382" s="1051"/>
      <c r="I382" s="1051"/>
      <c r="L382" s="772"/>
      <c r="M382" s="779">
        <v>-0.1</v>
      </c>
      <c r="N382" s="779">
        <v>0</v>
      </c>
      <c r="O382" s="779">
        <v>0</v>
      </c>
      <c r="P382" s="779">
        <v>0</v>
      </c>
      <c r="Q382" s="779">
        <v>0</v>
      </c>
      <c r="R382" s="779">
        <v>0</v>
      </c>
      <c r="S382" s="779">
        <v>0</v>
      </c>
      <c r="T382" s="779">
        <v>0</v>
      </c>
      <c r="U382" s="779">
        <v>0</v>
      </c>
      <c r="V382" s="779">
        <v>0</v>
      </c>
    </row>
    <row r="383" spans="2:22" outlineLevel="1">
      <c r="B383" s="799" t="s">
        <v>1018</v>
      </c>
      <c r="C383" s="771">
        <f>IF('R6a - Net Debt input'!D203 = "","",'R6a - Net Debt input'!D203)</f>
        <v>44203</v>
      </c>
      <c r="D383" s="771">
        <f>IF('R6a - Net Debt input'!E203 = "","",'R6a - Net Debt input'!E203)</f>
        <v>47886</v>
      </c>
      <c r="E383" s="1051" t="str">
        <f>IF('R6a - Net Debt input'!F203 = "","",'R6a - Net Debt input'!F203)</f>
        <v>10.1 YR SWAP: RCV 1.37500% GBP PAY 6M Libor +93 bp GBP 50.0 M MAT: 07-FEB-2031</v>
      </c>
      <c r="F383" s="1051"/>
      <c r="G383" s="1051"/>
      <c r="H383" s="1051"/>
      <c r="I383" s="1051"/>
      <c r="L383" s="772"/>
      <c r="M383" s="779">
        <v>-0.1</v>
      </c>
      <c r="N383" s="779">
        <v>0</v>
      </c>
      <c r="O383" s="779">
        <v>0</v>
      </c>
      <c r="P383" s="779">
        <v>0</v>
      </c>
      <c r="Q383" s="779">
        <v>0</v>
      </c>
      <c r="R383" s="779">
        <v>0</v>
      </c>
      <c r="S383" s="779">
        <v>0</v>
      </c>
      <c r="T383" s="779">
        <v>0</v>
      </c>
      <c r="U383" s="779">
        <v>0</v>
      </c>
      <c r="V383" s="779">
        <v>0</v>
      </c>
    </row>
    <row r="384" spans="2:22" outlineLevel="1">
      <c r="B384" s="799" t="s">
        <v>1019</v>
      </c>
      <c r="C384" s="771">
        <f>IF('R6a - Net Debt input'!D204 = "","",'R6a - Net Debt input'!D204)</f>
        <v>44203</v>
      </c>
      <c r="D384" s="771">
        <f>IF('R6a - Net Debt input'!E204 = "","",'R6a - Net Debt input'!E204)</f>
        <v>47886</v>
      </c>
      <c r="E384" s="1051" t="str">
        <f>IF('R6a - Net Debt input'!F204 = "","",'R6a - Net Debt input'!F204)</f>
        <v>10.1 YR SWAP: RCV 1.37500% GBP PAY 6M Libor +92 bp GBP 35.0 M MAT: 07-FEB-2031</v>
      </c>
      <c r="F384" s="1051"/>
      <c r="G384" s="1051"/>
      <c r="H384" s="1051"/>
      <c r="I384" s="1051"/>
      <c r="L384" s="772"/>
      <c r="M384" s="779">
        <v>-0.1</v>
      </c>
      <c r="N384" s="779">
        <v>0</v>
      </c>
      <c r="O384" s="779">
        <v>0</v>
      </c>
      <c r="P384" s="779">
        <v>0</v>
      </c>
      <c r="Q384" s="779">
        <v>0</v>
      </c>
      <c r="R384" s="779">
        <v>0</v>
      </c>
      <c r="S384" s="779">
        <v>0</v>
      </c>
      <c r="T384" s="779">
        <v>0</v>
      </c>
      <c r="U384" s="779">
        <v>0</v>
      </c>
      <c r="V384" s="779">
        <v>0</v>
      </c>
    </row>
    <row r="385" spans="2:22" outlineLevel="1">
      <c r="B385" s="799" t="s">
        <v>1020</v>
      </c>
      <c r="C385" s="771">
        <f>IF('R6a - Net Debt input'!D205 = "","",'R6a - Net Debt input'!D205)</f>
        <v>44204</v>
      </c>
      <c r="D385" s="771">
        <f>IF('R6a - Net Debt input'!E205 = "","",'R6a - Net Debt input'!E205)</f>
        <v>52245</v>
      </c>
      <c r="E385" s="1051" t="str">
        <f>IF('R6a - Net Debt input'!F205 = "","",'R6a - Net Debt input'!F205)</f>
        <v>22 YR SWAP: RCV 1.62500% GBP PAY 6M Libor +94 bp GBP 37.5 M MAT: 14-JAN-2043</v>
      </c>
      <c r="F385" s="1051"/>
      <c r="G385" s="1051"/>
      <c r="H385" s="1051"/>
      <c r="I385" s="1051"/>
      <c r="L385" s="772"/>
      <c r="M385" s="779">
        <v>-0.1</v>
      </c>
      <c r="N385" s="779">
        <v>0</v>
      </c>
      <c r="O385" s="779">
        <v>0</v>
      </c>
      <c r="P385" s="779">
        <v>0</v>
      </c>
      <c r="Q385" s="779">
        <v>0</v>
      </c>
      <c r="R385" s="779">
        <v>0</v>
      </c>
      <c r="S385" s="779">
        <v>0</v>
      </c>
      <c r="T385" s="779">
        <v>0</v>
      </c>
      <c r="U385" s="779">
        <v>0</v>
      </c>
      <c r="V385" s="779">
        <v>0</v>
      </c>
    </row>
    <row r="386" spans="2:22" outlineLevel="1">
      <c r="B386" s="799" t="s">
        <v>1021</v>
      </c>
      <c r="C386" s="771">
        <f>IF('R6a - Net Debt input'!D206 = "","",'R6a - Net Debt input'!D206)</f>
        <v>44204</v>
      </c>
      <c r="D386" s="771">
        <f>IF('R6a - Net Debt input'!E206 = "","",'R6a - Net Debt input'!E206)</f>
        <v>52245</v>
      </c>
      <c r="E386" s="1051" t="str">
        <f>IF('R6a - Net Debt input'!F206 = "","",'R6a - Net Debt input'!F206)</f>
        <v>22 YR SWAP: RCV 1.62500% GBP PAY 6M Libor +94 bp GBP 37.5 M MAT: 14-JAN-2043</v>
      </c>
      <c r="F386" s="1051"/>
      <c r="G386" s="1051"/>
      <c r="H386" s="1051"/>
      <c r="I386" s="1051"/>
      <c r="L386" s="772"/>
      <c r="M386" s="779">
        <v>-0.1</v>
      </c>
      <c r="N386" s="779">
        <v>0</v>
      </c>
      <c r="O386" s="779">
        <v>0</v>
      </c>
      <c r="P386" s="779">
        <v>0</v>
      </c>
      <c r="Q386" s="779">
        <v>0</v>
      </c>
      <c r="R386" s="779">
        <v>0</v>
      </c>
      <c r="S386" s="779">
        <v>0</v>
      </c>
      <c r="T386" s="779">
        <v>0</v>
      </c>
      <c r="U386" s="779">
        <v>0</v>
      </c>
      <c r="V386" s="779">
        <v>0</v>
      </c>
    </row>
    <row r="387" spans="2:22" outlineLevel="1">
      <c r="B387" s="799" t="s">
        <v>1022</v>
      </c>
      <c r="C387" s="771">
        <f>IF('R6a - Net Debt input'!D207 = "","",'R6a - Net Debt input'!D207)</f>
        <v>44321</v>
      </c>
      <c r="D387" s="771">
        <f>IF('R6a - Net Debt input'!E207 = "","",'R6a - Net Debt input'!E207)</f>
        <v>47886</v>
      </c>
      <c r="E387" s="1051" t="str">
        <f>IF('R6a - Net Debt input'!F207 = "","",'R6a - Net Debt input'!F207)</f>
        <v>10 YR SWAP: RCV 1.37500% GBP PAY 1D SONIA +88 bp GBP 40.0 M MAT: 07-FEB-2031</v>
      </c>
      <c r="F387" s="1051"/>
      <c r="G387" s="1051"/>
      <c r="H387" s="1051"/>
      <c r="I387" s="1051"/>
      <c r="L387" s="772"/>
      <c r="M387" s="779">
        <v>-0.4</v>
      </c>
      <c r="N387" s="779">
        <v>0.39136586000000001</v>
      </c>
      <c r="O387" s="779">
        <v>0.77102156999999993</v>
      </c>
      <c r="P387" s="779">
        <v>0.61342324999999998</v>
      </c>
      <c r="Q387" s="779">
        <v>0.50589878999999993</v>
      </c>
      <c r="R387" s="779">
        <v>0.44374963000000001</v>
      </c>
      <c r="S387" s="779">
        <v>0.38697138000000003</v>
      </c>
      <c r="T387" s="779">
        <v>0.34936527000000001</v>
      </c>
      <c r="U387" s="779">
        <v>0.35235369999999999</v>
      </c>
      <c r="V387" s="779">
        <v>0.31165541999999996</v>
      </c>
    </row>
    <row r="388" spans="2:22" outlineLevel="1">
      <c r="B388" s="799" t="s">
        <v>1023</v>
      </c>
      <c r="C388" s="771">
        <f>IF('R6a - Net Debt input'!D208 = "","",'R6a - Net Debt input'!D208)</f>
        <v>44321</v>
      </c>
      <c r="D388" s="771">
        <f>IF('R6a - Net Debt input'!E208 = "","",'R6a - Net Debt input'!E208)</f>
        <v>47886</v>
      </c>
      <c r="E388" s="1051" t="str">
        <f>IF('R6a - Net Debt input'!F208 = "","",'R6a - Net Debt input'!F208)</f>
        <v>10 YR SWAP: RCV 1.37500% GBP PAY 1D SONIA +120 bp GBP 50.0 M MAT: 07-FEB-2031</v>
      </c>
      <c r="F388" s="1051"/>
      <c r="G388" s="1051"/>
      <c r="H388" s="1051"/>
      <c r="I388" s="1051"/>
      <c r="L388" s="772"/>
      <c r="M388" s="779">
        <v>-0.4</v>
      </c>
      <c r="N388" s="779">
        <v>0.64732793</v>
      </c>
      <c r="O388" s="779">
        <v>1.1227663600000002</v>
      </c>
      <c r="P388" s="779">
        <v>0.9253340699999999</v>
      </c>
      <c r="Q388" s="779">
        <v>0.79092850000000003</v>
      </c>
      <c r="R388" s="779">
        <v>0.71324204000000002</v>
      </c>
      <c r="S388" s="779">
        <v>0.64270362000000003</v>
      </c>
      <c r="T388" s="779">
        <v>0.59526159999999995</v>
      </c>
      <c r="U388" s="779">
        <v>0.59899712000000005</v>
      </c>
      <c r="V388" s="779">
        <v>0.52553561999999998</v>
      </c>
    </row>
    <row r="389" spans="2:22" outlineLevel="1">
      <c r="B389" s="799" t="s">
        <v>1024</v>
      </c>
      <c r="C389" s="771">
        <f>IF('R6a - Net Debt input'!D209 = "","",'R6a - Net Debt input'!D209)</f>
        <v>44321</v>
      </c>
      <c r="D389" s="771">
        <f>IF('R6a - Net Debt input'!E209 = "","",'R6a - Net Debt input'!E209)</f>
        <v>47886</v>
      </c>
      <c r="E389" s="1051" t="str">
        <f>IF('R6a - Net Debt input'!F209 = "","",'R6a - Net Debt input'!F209)</f>
        <v>10 YR SWAP: RCV 1.37500% GBP PAY 1D SONIA +119 bp GBP 35.0 M MAT: 07-FEB-2031</v>
      </c>
      <c r="F389" s="1051"/>
      <c r="G389" s="1051"/>
      <c r="H389" s="1051"/>
      <c r="I389" s="1051"/>
      <c r="L389" s="772"/>
      <c r="M389" s="779">
        <v>-0.3</v>
      </c>
      <c r="N389" s="779">
        <v>0.45100040000000002</v>
      </c>
      <c r="O389" s="779">
        <v>0.78379559999999993</v>
      </c>
      <c r="P389" s="779">
        <v>0.64559884999999995</v>
      </c>
      <c r="Q389" s="779">
        <v>0.55151494999999995</v>
      </c>
      <c r="R389" s="779">
        <v>0.49713441999999997</v>
      </c>
      <c r="S389" s="779">
        <v>0.44775167999999999</v>
      </c>
      <c r="T389" s="779">
        <v>0.41454812000000002</v>
      </c>
      <c r="U389" s="779">
        <v>0.41716297999999996</v>
      </c>
      <c r="V389" s="779">
        <v>0.36604409999999998</v>
      </c>
    </row>
    <row r="390" spans="2:22" outlineLevel="1">
      <c r="B390" s="799" t="s">
        <v>1025</v>
      </c>
      <c r="C390" s="771">
        <f>IF('R6a - Net Debt input'!D210 = "","",'R6a - Net Debt input'!D210)</f>
        <v>44321</v>
      </c>
      <c r="D390" s="771">
        <f>IF('R6a - Net Debt input'!E210 = "","",'R6a - Net Debt input'!E210)</f>
        <v>52245</v>
      </c>
      <c r="E390" s="1051" t="str">
        <f>IF('R6a - Net Debt input'!F210 = "","",'R6a - Net Debt input'!F210)</f>
        <v>22 YR SWAP: RCV 1.62500% GBP PAY 1D SONIA +122 bp GBP 37.5 M MAT: 14-JAN-2043</v>
      </c>
      <c r="F390" s="1051"/>
      <c r="G390" s="1051"/>
      <c r="H390" s="1051"/>
      <c r="I390" s="1051"/>
      <c r="L390" s="772"/>
      <c r="M390" s="779">
        <v>-0.4</v>
      </c>
      <c r="N390" s="779">
        <v>0</v>
      </c>
      <c r="O390" s="779">
        <v>0</v>
      </c>
      <c r="P390" s="779">
        <v>0</v>
      </c>
      <c r="Q390" s="779">
        <v>0</v>
      </c>
      <c r="R390" s="779">
        <v>0</v>
      </c>
      <c r="S390" s="779">
        <v>0</v>
      </c>
      <c r="T390" s="779">
        <v>0</v>
      </c>
      <c r="U390" s="779">
        <v>0</v>
      </c>
      <c r="V390" s="779">
        <v>0</v>
      </c>
    </row>
    <row r="391" spans="2:22" outlineLevel="1">
      <c r="B391" s="799" t="s">
        <v>1026</v>
      </c>
      <c r="C391" s="771">
        <f>IF('R6a - Net Debt input'!D211 = "","",'R6a - Net Debt input'!D211)</f>
        <v>44321</v>
      </c>
      <c r="D391" s="771">
        <f>IF('R6a - Net Debt input'!E211 = "","",'R6a - Net Debt input'!E211)</f>
        <v>52245</v>
      </c>
      <c r="E391" s="1051" t="str">
        <f>IF('R6a - Net Debt input'!F211 = "","",'R6a - Net Debt input'!F211)</f>
        <v>22 YR SWAP: RCV 1.62500% GBP PAY 1D SONIA +122 bp GBP 37.5 M MAT: 14-JAN-2043</v>
      </c>
      <c r="F391" s="1051"/>
      <c r="G391" s="1051"/>
      <c r="H391" s="1051"/>
      <c r="I391" s="1051"/>
      <c r="L391" s="772"/>
      <c r="M391" s="779">
        <v>-0.4</v>
      </c>
      <c r="N391" s="779">
        <v>0</v>
      </c>
      <c r="O391" s="779">
        <v>0</v>
      </c>
      <c r="P391" s="779">
        <v>0</v>
      </c>
      <c r="Q391" s="779">
        <v>0</v>
      </c>
      <c r="R391" s="779">
        <v>0</v>
      </c>
      <c r="S391" s="779">
        <v>0</v>
      </c>
      <c r="T391" s="779">
        <v>0</v>
      </c>
      <c r="U391" s="779">
        <v>0</v>
      </c>
      <c r="V391" s="779">
        <v>0</v>
      </c>
    </row>
    <row r="392" spans="2:22" outlineLevel="1">
      <c r="B392" s="799" t="s">
        <v>1027</v>
      </c>
      <c r="C392" s="771">
        <f>IF('R6a - Net Debt input'!D212 = "","",'R6a - Net Debt input'!D212)</f>
        <v>44357</v>
      </c>
      <c r="D392" s="771">
        <f>IF('R6a - Net Debt input'!E212 = "","",'R6a - Net Debt input'!E212)</f>
        <v>45642</v>
      </c>
      <c r="E392" s="1051" t="str">
        <f>IF('R6a - Net Debt input'!F212 = "","",'R6a - Net Debt input'!F212)</f>
        <v>3.5 YR SWAP: PAY 1D SONIA +287 bp GBP RCV 7.00000% GBP 5.0 M MAT: 16-DEC-2024</v>
      </c>
      <c r="F392" s="1051"/>
      <c r="G392" s="1051"/>
      <c r="H392" s="1051"/>
      <c r="I392" s="1051"/>
      <c r="L392" s="772"/>
      <c r="M392" s="779">
        <v>-0.3</v>
      </c>
      <c r="N392" s="779">
        <v>0</v>
      </c>
      <c r="O392" s="779">
        <v>0</v>
      </c>
      <c r="P392" s="779">
        <v>0</v>
      </c>
      <c r="Q392" s="779">
        <v>0</v>
      </c>
      <c r="R392" s="779">
        <v>0</v>
      </c>
      <c r="S392" s="779">
        <v>0</v>
      </c>
      <c r="T392" s="779">
        <v>0</v>
      </c>
      <c r="U392" s="779">
        <v>0</v>
      </c>
      <c r="V392" s="779">
        <v>0</v>
      </c>
    </row>
    <row r="393" spans="2:22" outlineLevel="1">
      <c r="B393" s="799" t="s">
        <v>1028</v>
      </c>
      <c r="C393" s="771">
        <f>IF('R6a - Net Debt input'!D213 = "","",'R6a - Net Debt input'!D213)</f>
        <v>44357</v>
      </c>
      <c r="D393" s="771">
        <f>IF('R6a - Net Debt input'!E213 = "","",'R6a - Net Debt input'!E213)</f>
        <v>45835</v>
      </c>
      <c r="E393" s="1051" t="str">
        <f>IF('R6a - Net Debt input'!F213 = "","",'R6a - Net Debt input'!F213)</f>
        <v>4.0 YR SWAP: PAY 1D SONIA +432 bp GBP RCV 8.75000% GBP 16.0 M MAT: 27-JUN-2025</v>
      </c>
      <c r="F393" s="1051"/>
      <c r="G393" s="1051"/>
      <c r="H393" s="1051"/>
      <c r="I393" s="1051"/>
      <c r="L393" s="772"/>
      <c r="M393" s="779">
        <v>0.4</v>
      </c>
      <c r="N393" s="779">
        <v>-0.46859365999999997</v>
      </c>
      <c r="O393" s="779">
        <v>-0.32569779999999998</v>
      </c>
      <c r="P393" s="779">
        <v>-0.38430215999999995</v>
      </c>
      <c r="Q393" s="779">
        <v>-9.878431E-2</v>
      </c>
      <c r="R393" s="779">
        <v>0</v>
      </c>
      <c r="S393" s="779">
        <v>0</v>
      </c>
      <c r="T393" s="779">
        <v>0</v>
      </c>
      <c r="U393" s="779">
        <v>0</v>
      </c>
      <c r="V393" s="779">
        <v>0</v>
      </c>
    </row>
    <row r="394" spans="2:22" outlineLevel="1">
      <c r="B394" s="799" t="s">
        <v>1029</v>
      </c>
      <c r="C394" s="771">
        <f>IF('R6a - Net Debt input'!D214 = "","",'R6a - Net Debt input'!D214)</f>
        <v>44397</v>
      </c>
      <c r="D394" s="771">
        <f>IF('R6a - Net Debt input'!E214 = "","",'R6a - Net Debt input'!E214)</f>
        <v>50538</v>
      </c>
      <c r="E394" s="1051" t="str">
        <f>IF('R6a - Net Debt input'!F214 = "","",'R6a - Net Debt input'!F214)</f>
        <v>16.5 YR SWAP: PAY 1D SONIA +148 bp GBP RCV 6.00000% GBP 15.0 M MAT: 13-MAY-2038</v>
      </c>
      <c r="F394" s="1051"/>
      <c r="G394" s="1051"/>
      <c r="H394" s="1051"/>
      <c r="I394" s="1051"/>
      <c r="L394" s="772"/>
      <c r="M394" s="779">
        <v>0</v>
      </c>
      <c r="N394" s="779">
        <v>-0.4457218</v>
      </c>
      <c r="O394" s="779">
        <v>-0.3234496</v>
      </c>
      <c r="P394" s="779">
        <v>-0.37477752000000003</v>
      </c>
      <c r="Q394" s="779">
        <v>-0.41542765999999998</v>
      </c>
      <c r="R394" s="779">
        <v>-0.43801804</v>
      </c>
      <c r="S394" s="779">
        <v>-0.45932552000000004</v>
      </c>
      <c r="T394" s="779">
        <v>-0.47371193</v>
      </c>
      <c r="U394" s="779">
        <v>-0.47261834000000003</v>
      </c>
      <c r="V394" s="779">
        <v>-0.46758903999999996</v>
      </c>
    </row>
    <row r="395" spans="2:22" outlineLevel="1">
      <c r="B395" s="799" t="s">
        <v>1030</v>
      </c>
      <c r="C395" s="771">
        <f>IF('R6a - Net Debt input'!D215 = "","",'R6a - Net Debt input'!D215)</f>
        <v>44397</v>
      </c>
      <c r="D395" s="771">
        <f>IF('R6a - Net Debt input'!E215 = "","",'R6a - Net Debt input'!E215)</f>
        <v>50538</v>
      </c>
      <c r="E395" s="1051" t="str">
        <f>IF('R6a - Net Debt input'!F215 = "","",'R6a - Net Debt input'!F215)</f>
        <v>16.5 YR SWAP: PAY 1D SONIA +145 bp GBP RCV 6.00000% GBP 15.0 M MAT: 13-MAY-2038</v>
      </c>
      <c r="F395" s="1051"/>
      <c r="G395" s="1051"/>
      <c r="H395" s="1051"/>
      <c r="I395" s="1051"/>
      <c r="L395" s="772"/>
      <c r="M395" s="779">
        <v>0</v>
      </c>
      <c r="N395" s="779">
        <v>-0.45026929999999998</v>
      </c>
      <c r="O395" s="779">
        <v>-0.32802209000000004</v>
      </c>
      <c r="P395" s="779">
        <v>-0.37933752000000004</v>
      </c>
      <c r="Q395" s="779">
        <v>-0.41998765999999998</v>
      </c>
      <c r="R395" s="779">
        <v>-0.44257804000000001</v>
      </c>
      <c r="S395" s="779">
        <v>-0.46389801000000003</v>
      </c>
      <c r="T395" s="779">
        <v>-0.47827193000000001</v>
      </c>
      <c r="U395" s="779">
        <v>-0.47717834999999997</v>
      </c>
      <c r="V395" s="779">
        <v>-0.47214903999999996</v>
      </c>
    </row>
    <row r="396" spans="2:22" outlineLevel="1">
      <c r="B396" s="799" t="s">
        <v>1031</v>
      </c>
      <c r="C396" s="771">
        <f>IF('R6a - Net Debt input'!D216 = "","",'R6a - Net Debt input'!D216)</f>
        <v>44397</v>
      </c>
      <c r="D396" s="771">
        <f>IF('R6a - Net Debt input'!E216 = "","",'R6a - Net Debt input'!E216)</f>
        <v>50538</v>
      </c>
      <c r="E396" s="1051" t="str">
        <f>IF('R6a - Net Debt input'!F216 = "","",'R6a - Net Debt input'!F216)</f>
        <v>16.5 YR SWAP: PAY 1D SONIA +237 bp GBP RCV 6.00000% GBP 18.0 M MAT: 13-MAY-2038</v>
      </c>
      <c r="F396" s="1051"/>
      <c r="G396" s="1051"/>
      <c r="H396" s="1051"/>
      <c r="I396" s="1051"/>
      <c r="L396" s="772"/>
      <c r="M396" s="779">
        <v>0</v>
      </c>
      <c r="N396" s="779">
        <v>-0.37415366999999999</v>
      </c>
      <c r="O396" s="779">
        <v>-0.226544</v>
      </c>
      <c r="P396" s="779">
        <v>-0.28857902000000002</v>
      </c>
      <c r="Q396" s="779">
        <v>-0.33735918999999998</v>
      </c>
      <c r="R396" s="779">
        <v>-0.36446765000000003</v>
      </c>
      <c r="S396" s="779">
        <v>-0.38959510999999997</v>
      </c>
      <c r="T396" s="779">
        <v>-0.40730031</v>
      </c>
      <c r="U396" s="779">
        <v>-0.40598801000000001</v>
      </c>
      <c r="V396" s="779">
        <v>-0.39995284999999997</v>
      </c>
    </row>
    <row r="397" spans="2:22" outlineLevel="1">
      <c r="B397" s="799" t="s">
        <v>1032</v>
      </c>
      <c r="C397" s="771">
        <f>IF('R6a - Net Debt input'!D217 = "","",'R6a - Net Debt input'!D217)</f>
        <v>44397</v>
      </c>
      <c r="D397" s="771">
        <f>IF('R6a - Net Debt input'!E217 = "","",'R6a - Net Debt input'!E217)</f>
        <v>50538</v>
      </c>
      <c r="E397" s="1051" t="str">
        <f>IF('R6a - Net Debt input'!F217 = "","",'R6a - Net Debt input'!F217)</f>
        <v>16.5 YR SWAP: PAY 1D SONIA +241 bp GBP RCV 6.00000% GBP 13.0 M MAT: 13-MAY-2038</v>
      </c>
      <c r="F397" s="1051"/>
      <c r="G397" s="1051"/>
      <c r="H397" s="1051"/>
      <c r="I397" s="1051"/>
      <c r="L397" s="772"/>
      <c r="M397" s="779">
        <v>0</v>
      </c>
      <c r="N397" s="779">
        <v>-0.26587903000000002</v>
      </c>
      <c r="O397" s="779">
        <v>-0.15924817999999999</v>
      </c>
      <c r="P397" s="779">
        <v>-0.20406317999999998</v>
      </c>
      <c r="Q397" s="779">
        <v>-0.23929329999999999</v>
      </c>
      <c r="R397" s="779">
        <v>-0.25887163000000002</v>
      </c>
      <c r="S397" s="779">
        <v>-0.27700731000000001</v>
      </c>
      <c r="T397" s="779">
        <v>-0.28980634000000005</v>
      </c>
      <c r="U397" s="779">
        <v>-0.28885856999999998</v>
      </c>
      <c r="V397" s="779">
        <v>-0.28449984</v>
      </c>
    </row>
    <row r="398" spans="2:22" outlineLevel="1">
      <c r="B398" s="799" t="s">
        <v>1033</v>
      </c>
      <c r="C398" s="771">
        <f>IF('R6a - Net Debt input'!D218 = "","",'R6a - Net Debt input'!D218)</f>
        <v>44397</v>
      </c>
      <c r="D398" s="771">
        <f>IF('R6a - Net Debt input'!E218 = "","",'R6a - Net Debt input'!E218)</f>
        <v>47200</v>
      </c>
      <c r="E398" s="1051" t="str">
        <f>IF('R6a - Net Debt input'!F218 = "","",'R6a - Net Debt input'!F218)</f>
        <v>7.5 YR SWAP: PAY 1.79500% GBP RCV 1D SONIA +42 bp GBP 52.2 M MAT: 23-MAR-2029</v>
      </c>
      <c r="F398" s="1051"/>
      <c r="G398" s="1051"/>
      <c r="H398" s="1051"/>
      <c r="I398" s="1051"/>
      <c r="L398" s="772"/>
      <c r="M398" s="779">
        <v>0.3</v>
      </c>
      <c r="N398" s="779">
        <v>-8.5865429999999993E-2</v>
      </c>
      <c r="O398" s="779">
        <v>-0.53800760000000003</v>
      </c>
      <c r="P398" s="779">
        <v>-0.32911765000000004</v>
      </c>
      <c r="Q398" s="779">
        <v>-0.19102064000000002</v>
      </c>
      <c r="R398" s="779">
        <v>-0.11634744999999999</v>
      </c>
      <c r="S398" s="779">
        <v>-3.8329550000000004E-2</v>
      </c>
      <c r="T398" s="779">
        <v>1.366592E-2</v>
      </c>
      <c r="U398" s="779">
        <v>0</v>
      </c>
      <c r="V398" s="779">
        <v>0</v>
      </c>
    </row>
    <row r="399" spans="2:22" outlineLevel="1">
      <c r="B399" s="799" t="s">
        <v>1034</v>
      </c>
      <c r="C399" s="771">
        <f>IF('R6a - Net Debt input'!D219 = "","",'R6a - Net Debt input'!D219)</f>
        <v>44439</v>
      </c>
      <c r="D399" s="771">
        <f>IF('R6a - Net Debt input'!E219 = "","",'R6a - Net Debt input'!E219)</f>
        <v>47434</v>
      </c>
      <c r="E399" s="1051" t="str">
        <f>IF('R6a - Net Debt input'!F219 = "","",'R6a - Net Debt input'!F219)</f>
        <v>8 YR SWAP: PAY 5.63500% GBP RCV 1D SONIA +65 bp GBP 10.0 M MAT: 12-NOV-2029</v>
      </c>
      <c r="F399" s="1051"/>
      <c r="G399" s="1051"/>
      <c r="H399" s="1051"/>
      <c r="I399" s="1051"/>
      <c r="L399" s="772"/>
      <c r="M399" s="779">
        <v>0</v>
      </c>
      <c r="N399" s="779">
        <v>0.34282052000000002</v>
      </c>
      <c r="O399" s="779">
        <v>0.26290896000000002</v>
      </c>
      <c r="P399" s="779">
        <v>0.29595765000000002</v>
      </c>
      <c r="Q399" s="779">
        <v>0.32262761000000001</v>
      </c>
      <c r="R399" s="779">
        <v>0.33784121</v>
      </c>
      <c r="S399" s="779">
        <v>0.35348174999999998</v>
      </c>
      <c r="T399" s="779">
        <v>0.36212293000000001</v>
      </c>
      <c r="U399" s="779">
        <v>0.22361560999999999</v>
      </c>
      <c r="V399" s="779">
        <v>0</v>
      </c>
    </row>
    <row r="400" spans="2:22" outlineLevel="1">
      <c r="B400" s="799" t="s">
        <v>1035</v>
      </c>
      <c r="C400" s="771">
        <f>IF('R6a - Net Debt input'!D220 = "","",'R6a - Net Debt input'!D220)</f>
        <v>44439</v>
      </c>
      <c r="D400" s="771">
        <f>IF('R6a - Net Debt input'!E220 = "","",'R6a - Net Debt input'!E220)</f>
        <v>47434</v>
      </c>
      <c r="E400" s="1051" t="str">
        <f>IF('R6a - Net Debt input'!F220 = "","",'R6a - Net Debt input'!F220)</f>
        <v>8 YR SWAP: PAY 5.64250% GBP RCV 1D SONIA +65 bp GBP 9.8 M MAT: 12-NOV-2029</v>
      </c>
      <c r="F400" s="1051"/>
      <c r="G400" s="1051"/>
      <c r="H400" s="1051"/>
      <c r="I400" s="1051"/>
      <c r="L400" s="772"/>
      <c r="M400" s="779">
        <v>0</v>
      </c>
      <c r="N400" s="779">
        <v>0.33496953999999995</v>
      </c>
      <c r="O400" s="779">
        <v>0.25705971</v>
      </c>
      <c r="P400" s="779">
        <v>0.28928021000000004</v>
      </c>
      <c r="Q400" s="779">
        <v>0.31528341999999998</v>
      </c>
      <c r="R400" s="779">
        <v>0.33011668</v>
      </c>
      <c r="S400" s="779">
        <v>0.34536817999999997</v>
      </c>
      <c r="T400" s="779">
        <v>0.35379135</v>
      </c>
      <c r="U400" s="779">
        <v>0.21847195999999999</v>
      </c>
      <c r="V400" s="779">
        <v>0</v>
      </c>
    </row>
    <row r="401" spans="2:24" outlineLevel="1">
      <c r="B401" s="799" t="s">
        <v>1036</v>
      </c>
      <c r="C401" s="771">
        <f>IF('R6a - Net Debt input'!D221 = "","",'R6a - Net Debt input'!D221)</f>
        <v>44397</v>
      </c>
      <c r="D401" s="771">
        <f>IF('R6a - Net Debt input'!E221 = "","",'R6a - Net Debt input'!E221)</f>
        <v>50538</v>
      </c>
      <c r="E401" s="1051" t="str">
        <f>IF('R6a - Net Debt input'!F221 = "","",'R6a - Net Debt input'!F221)</f>
        <v>17 YR SWAP: PAY 6.00000% GBP RCV 1D SONIA +501 bp GBP 18.0 M MAT: 13-MAY-2038</v>
      </c>
      <c r="F401" s="1051"/>
      <c r="G401" s="1051"/>
      <c r="H401" s="1051"/>
      <c r="I401" s="1051"/>
      <c r="L401" s="772"/>
      <c r="M401" s="779">
        <v>0.6</v>
      </c>
      <c r="N401" s="779">
        <v>0</v>
      </c>
      <c r="O401" s="779">
        <v>0</v>
      </c>
      <c r="P401" s="779">
        <v>0</v>
      </c>
      <c r="Q401" s="779">
        <v>0</v>
      </c>
      <c r="R401" s="779">
        <v>0</v>
      </c>
      <c r="S401" s="779">
        <v>0</v>
      </c>
      <c r="T401" s="779">
        <v>0</v>
      </c>
      <c r="U401" s="779">
        <v>0</v>
      </c>
      <c r="V401" s="779">
        <v>0</v>
      </c>
    </row>
    <row r="402" spans="2:24" outlineLevel="1">
      <c r="B402" s="799" t="s">
        <v>1037</v>
      </c>
      <c r="C402" s="771">
        <f>IF('R6a - Net Debt input'!D222 = "","",'R6a - Net Debt input'!D222)</f>
        <v>44439</v>
      </c>
      <c r="D402" s="771">
        <f>IF('R6a - Net Debt input'!E222 = "","",'R6a - Net Debt input'!E222)</f>
        <v>47434</v>
      </c>
      <c r="E402" s="1051" t="str">
        <f>IF('R6a - Net Debt input'!F222 = "","",'R6a - Net Debt input'!F222)</f>
        <v>8 YR SWAP: PAY 5.84500% GBP RCV 1D SONIA +65 bp GBP 12.5 M MAT: 12-NOV-2029</v>
      </c>
      <c r="F402" s="1051"/>
      <c r="G402" s="1051"/>
      <c r="H402" s="1051"/>
      <c r="I402" s="1051"/>
      <c r="L402" s="772"/>
      <c r="M402" s="779">
        <v>0</v>
      </c>
      <c r="N402" s="779">
        <v>0</v>
      </c>
      <c r="O402" s="779">
        <v>0</v>
      </c>
      <c r="P402" s="779">
        <v>0</v>
      </c>
      <c r="Q402" s="779">
        <v>0</v>
      </c>
      <c r="R402" s="779">
        <v>0</v>
      </c>
      <c r="S402" s="779">
        <v>0</v>
      </c>
      <c r="T402" s="779">
        <v>0</v>
      </c>
      <c r="U402" s="779">
        <v>0</v>
      </c>
      <c r="V402" s="779">
        <v>0</v>
      </c>
    </row>
    <row r="403" spans="2:24" outlineLevel="1">
      <c r="B403" s="799" t="s">
        <v>1038</v>
      </c>
      <c r="C403" s="771">
        <f>IF('R6a - Net Debt input'!D223 = "","",'R6a - Net Debt input'!D223)</f>
        <v>44439</v>
      </c>
      <c r="D403" s="771">
        <f>IF('R6a - Net Debt input'!E223 = "","",'R6a - Net Debt input'!E223)</f>
        <v>47434</v>
      </c>
      <c r="E403" s="1051" t="str">
        <f>IF('R6a - Net Debt input'!F223 = "","",'R6a - Net Debt input'!F223)</f>
        <v>8 YR SWAP: PAY 1.96000% GBP RCV 1D SONIA +65 bp GBP 23.8 M MAT: 12-NOV-2029</v>
      </c>
      <c r="F403" s="1051"/>
      <c r="G403" s="1051"/>
      <c r="H403" s="1051"/>
      <c r="I403" s="1051"/>
      <c r="L403" s="772"/>
      <c r="M403" s="779">
        <v>0</v>
      </c>
      <c r="N403" s="779">
        <v>0</v>
      </c>
      <c r="O403" s="779">
        <v>0</v>
      </c>
      <c r="P403" s="779">
        <v>0</v>
      </c>
      <c r="Q403" s="779">
        <v>0</v>
      </c>
      <c r="R403" s="779">
        <v>0</v>
      </c>
      <c r="S403" s="779">
        <v>0</v>
      </c>
      <c r="T403" s="779">
        <v>0</v>
      </c>
      <c r="U403" s="779">
        <v>0</v>
      </c>
      <c r="V403" s="779">
        <v>0</v>
      </c>
    </row>
    <row r="404" spans="2:24" outlineLevel="1">
      <c r="B404" s="799" t="s">
        <v>1039</v>
      </c>
      <c r="C404" s="771">
        <f>IF('R6a - Net Debt input'!D224 = "","",'R6a - Net Debt input'!D224)</f>
        <v>39647</v>
      </c>
      <c r="D404" s="771">
        <f>IF('R6a - Net Debt input'!E224 = "","",'R6a - Net Debt input'!E224)</f>
        <v>50538</v>
      </c>
      <c r="E404" s="1051" t="str">
        <f>IF('R6a - Net Debt input'!F224 = "","",'R6a - Net Debt input'!F224)</f>
        <v>29.8 YR SWAP: PAY 6M Libor +120 bp GBP RCV 6.00000% GBP 15.0 M MAT: 13-MAY-2038</v>
      </c>
      <c r="F404" s="1051"/>
      <c r="G404" s="1051"/>
      <c r="H404" s="1051"/>
      <c r="I404" s="1051"/>
      <c r="L404" s="772"/>
      <c r="M404" s="779">
        <v>-1.2</v>
      </c>
      <c r="N404" s="779">
        <v>0</v>
      </c>
      <c r="O404" s="779">
        <v>0</v>
      </c>
      <c r="P404" s="779">
        <v>0</v>
      </c>
      <c r="Q404" s="779">
        <v>0</v>
      </c>
      <c r="R404" s="779">
        <v>0</v>
      </c>
      <c r="S404" s="779">
        <v>0</v>
      </c>
      <c r="T404" s="779">
        <v>0</v>
      </c>
      <c r="U404" s="779">
        <v>0</v>
      </c>
      <c r="V404" s="779">
        <v>0</v>
      </c>
    </row>
    <row r="405" spans="2:24" outlineLevel="1">
      <c r="B405" s="799" t="s">
        <v>1040</v>
      </c>
      <c r="C405" s="771">
        <f>IF('R6a - Net Debt input'!D225 = "","",'R6a - Net Debt input'!D225)</f>
        <v>39647</v>
      </c>
      <c r="D405" s="771">
        <f>IF('R6a - Net Debt input'!E225 = "","",'R6a - Net Debt input'!E225)</f>
        <v>50538</v>
      </c>
      <c r="E405" s="1051" t="str">
        <f>IF('R6a - Net Debt input'!F225 = "","",'R6a - Net Debt input'!F225)</f>
        <v>29.8 YR SWAP: PAY 6M Libor +117 bp GBP RCV 6.00000% GBP 15.0 M MAT: 13-MAY-2038</v>
      </c>
      <c r="F405" s="1051"/>
      <c r="G405" s="1051"/>
      <c r="H405" s="1051"/>
      <c r="I405" s="1051"/>
      <c r="L405" s="772"/>
      <c r="M405" s="779">
        <v>-1.2</v>
      </c>
      <c r="N405" s="779">
        <v>0</v>
      </c>
      <c r="O405" s="779">
        <v>0</v>
      </c>
      <c r="P405" s="779">
        <v>0</v>
      </c>
      <c r="Q405" s="779">
        <v>0</v>
      </c>
      <c r="R405" s="779">
        <v>0</v>
      </c>
      <c r="S405" s="779">
        <v>0</v>
      </c>
      <c r="T405" s="779">
        <v>0</v>
      </c>
      <c r="U405" s="779">
        <v>0</v>
      </c>
      <c r="V405" s="779">
        <v>0</v>
      </c>
    </row>
    <row r="406" spans="2:24">
      <c r="B406" s="117"/>
      <c r="E406" s="117"/>
      <c r="F406" s="117"/>
      <c r="G406" s="117"/>
      <c r="H406" s="117"/>
      <c r="L406" s="537" t="s">
        <v>497</v>
      </c>
      <c r="M406" s="780">
        <f t="shared" ref="M406:V406" si="68">SUM(M370:M405)</f>
        <v>-3.8</v>
      </c>
      <c r="N406" s="780">
        <f t="shared" si="68"/>
        <v>7.7001359999999908E-2</v>
      </c>
      <c r="O406" s="780">
        <f t="shared" si="68"/>
        <v>1.29658293</v>
      </c>
      <c r="P406" s="780">
        <f t="shared" si="68"/>
        <v>0.80941697999999973</v>
      </c>
      <c r="Q406" s="780">
        <f t="shared" si="68"/>
        <v>0.78438050999999986</v>
      </c>
      <c r="R406" s="780">
        <f t="shared" si="68"/>
        <v>0.70180116999999997</v>
      </c>
      <c r="S406" s="780">
        <f t="shared" si="68"/>
        <v>0.54812110999999997</v>
      </c>
      <c r="T406" s="780">
        <f t="shared" si="68"/>
        <v>0.43966468000000003</v>
      </c>
      <c r="U406" s="780">
        <f t="shared" si="68"/>
        <v>0.16595810000000011</v>
      </c>
      <c r="V406" s="780">
        <f t="shared" si="68"/>
        <v>-0.42095563000000008</v>
      </c>
    </row>
    <row r="407" spans="2:24">
      <c r="B407" s="117"/>
    </row>
    <row r="408" spans="2:24" ht="14">
      <c r="B408" s="156" t="s">
        <v>498</v>
      </c>
      <c r="C408" s="157" t="s">
        <v>499</v>
      </c>
      <c r="D408" s="157"/>
      <c r="E408" s="157"/>
      <c r="F408" s="157"/>
      <c r="G408" s="158"/>
      <c r="H408" s="158"/>
      <c r="I408" s="158"/>
      <c r="J408" s="158"/>
      <c r="K408" s="158"/>
      <c r="L408" s="156"/>
      <c r="M408" s="157"/>
      <c r="N408" s="157"/>
      <c r="O408" s="157"/>
      <c r="P408" s="157"/>
      <c r="Q408" s="157"/>
      <c r="R408" s="157"/>
      <c r="S408" s="157"/>
      <c r="T408" s="157"/>
      <c r="U408" s="183"/>
      <c r="V408" s="157"/>
    </row>
    <row r="409" spans="2:24" outlineLevel="1">
      <c r="B409" s="117"/>
      <c r="C409" s="98"/>
      <c r="D409" s="98"/>
      <c r="X409" s="179"/>
    </row>
    <row r="410" spans="2:24" ht="17.5" outlineLevel="1">
      <c r="B410" s="101"/>
      <c r="C410" s="98"/>
      <c r="D410" s="166" t="s">
        <v>396</v>
      </c>
      <c r="E410" s="168"/>
      <c r="F410" s="168"/>
      <c r="G410" s="167"/>
      <c r="H410" s="167"/>
      <c r="I410" s="167"/>
      <c r="J410" s="167"/>
      <c r="K410" s="167"/>
      <c r="L410" s="193"/>
      <c r="M410" s="168"/>
      <c r="N410" s="168"/>
      <c r="O410" s="168"/>
      <c r="P410" s="168"/>
      <c r="Q410" s="168"/>
      <c r="R410" s="168"/>
      <c r="S410" s="168"/>
      <c r="T410" s="168"/>
      <c r="U410" s="185"/>
      <c r="V410" s="168"/>
    </row>
    <row r="411" spans="2:24" outlineLevel="1">
      <c r="B411" s="117"/>
      <c r="C411" s="98"/>
      <c r="D411" s="98"/>
    </row>
    <row r="412" spans="2:24" ht="32.25" customHeight="1" outlineLevel="1">
      <c r="B412" s="726"/>
      <c r="C412" s="536" t="s">
        <v>469</v>
      </c>
      <c r="D412" s="536" t="s">
        <v>470</v>
      </c>
      <c r="E412" s="1058" t="s">
        <v>471</v>
      </c>
      <c r="F412" s="1058" t="s">
        <v>483</v>
      </c>
      <c r="G412" s="1058" t="s">
        <v>484</v>
      </c>
      <c r="H412" s="1058" t="s">
        <v>485</v>
      </c>
      <c r="I412" s="1058" t="s">
        <v>486</v>
      </c>
      <c r="U412" s="179"/>
    </row>
    <row r="413" spans="2:24" s="256" customFormat="1" ht="52.5" customHeight="1" outlineLevel="1">
      <c r="B413" s="727" t="s">
        <v>397</v>
      </c>
      <c r="C413" s="728" t="s">
        <v>472</v>
      </c>
      <c r="D413" s="728" t="s">
        <v>472</v>
      </c>
      <c r="E413" s="1058"/>
      <c r="F413" s="1058" t="s">
        <v>136</v>
      </c>
      <c r="G413" s="1058" t="s">
        <v>136</v>
      </c>
      <c r="H413" s="1058" t="s">
        <v>398</v>
      </c>
      <c r="I413" s="1058" t="s">
        <v>487</v>
      </c>
      <c r="J413" s="99"/>
      <c r="K413" s="99"/>
      <c r="L413" s="99"/>
      <c r="M413" s="728" t="s">
        <v>398</v>
      </c>
      <c r="N413" s="728" t="s">
        <v>398</v>
      </c>
      <c r="O413" s="728" t="s">
        <v>398</v>
      </c>
      <c r="P413" s="728" t="s">
        <v>398</v>
      </c>
      <c r="Q413" s="728" t="s">
        <v>398</v>
      </c>
      <c r="R413" s="728" t="s">
        <v>398</v>
      </c>
      <c r="S413" s="728" t="s">
        <v>398</v>
      </c>
      <c r="T413" s="728" t="s">
        <v>398</v>
      </c>
      <c r="U413" s="728" t="s">
        <v>398</v>
      </c>
      <c r="V413" s="728" t="s">
        <v>398</v>
      </c>
    </row>
    <row r="414" spans="2:24" outlineLevel="1">
      <c r="B414" s="775" t="s">
        <v>500</v>
      </c>
      <c r="C414" s="702">
        <f>IF('R6a - Net Debt input'!D274 = "","",'R6a - Net Debt input'!D274)</f>
        <v>40777</v>
      </c>
      <c r="D414" s="702">
        <f>IF('R6a - Net Debt input'!E274 = "","",'R6a - Net Debt input'!E274)</f>
        <v>54280</v>
      </c>
      <c r="E414" s="1051" t="str">
        <f>IF('R6a - Net Debt input'!F274 = "","",'R6a - Net Debt input'!F274)</f>
        <v>37 YR SWAP: PAY 12M/1Y RPI 1.6298% REAL RATE GBP RCV 12M/1Y RPI 1.6298% REAL RATE GBP 100.0 M MAT: 10-AUG-2048</v>
      </c>
      <c r="F414" s="1051"/>
      <c r="G414" s="1051"/>
      <c r="H414" s="1051"/>
      <c r="I414" s="1051"/>
      <c r="M414" s="779">
        <v>10.199999999999999</v>
      </c>
      <c r="N414" s="779">
        <v>0</v>
      </c>
      <c r="O414" s="779">
        <v>0</v>
      </c>
      <c r="P414" s="779">
        <v>0</v>
      </c>
      <c r="Q414" s="779">
        <v>0</v>
      </c>
      <c r="R414" s="779">
        <v>0</v>
      </c>
      <c r="S414" s="779">
        <v>0</v>
      </c>
      <c r="T414" s="779">
        <v>0</v>
      </c>
      <c r="U414" s="779">
        <v>0</v>
      </c>
      <c r="V414" s="779">
        <v>0</v>
      </c>
    </row>
    <row r="415" spans="2:24" outlineLevel="1">
      <c r="B415" s="775" t="s">
        <v>501</v>
      </c>
      <c r="C415" s="771">
        <f>IF('R6a - Net Debt input'!D275 = "","",'R6a - Net Debt input'!D275)</f>
        <v>40777</v>
      </c>
      <c r="D415" s="771">
        <f>IF('R6a - Net Debt input'!E275 = "","",'R6a - Net Debt input'!E275)</f>
        <v>54284</v>
      </c>
      <c r="E415" s="1051" t="str">
        <f>IF('R6a - Net Debt input'!F275 = "","",'R6a - Net Debt input'!F275)</f>
        <v>37 YR SWAP: PAY 12M/1Y RPI 1.5522% REAL RATE GBP RCV 12M/1Y RPI 1.5522% REAL RATE GBP 100.0 M MAT: 14-AUG-2048</v>
      </c>
      <c r="F415" s="1051"/>
      <c r="G415" s="1051"/>
      <c r="H415" s="1051"/>
      <c r="I415" s="1051"/>
      <c r="M415" s="779">
        <v>10.4</v>
      </c>
      <c r="N415" s="779">
        <v>0</v>
      </c>
      <c r="O415" s="779">
        <v>0</v>
      </c>
      <c r="P415" s="779">
        <v>0</v>
      </c>
      <c r="Q415" s="779">
        <v>0</v>
      </c>
      <c r="R415" s="779">
        <v>0</v>
      </c>
      <c r="S415" s="779">
        <v>0</v>
      </c>
      <c r="T415" s="779">
        <v>0</v>
      </c>
      <c r="U415" s="779">
        <v>0</v>
      </c>
      <c r="V415" s="779">
        <v>0</v>
      </c>
    </row>
    <row r="416" spans="2:24" outlineLevel="1">
      <c r="B416" s="775" t="s">
        <v>502</v>
      </c>
      <c r="C416" s="771" t="str">
        <f>IF('R6a - Net Debt input'!D276 = "","",'R6a - Net Debt input'!D276)</f>
        <v/>
      </c>
      <c r="D416" s="771" t="str">
        <f>IF('R6a - Net Debt input'!E276 = "","",'R6a - Net Debt input'!E276)</f>
        <v/>
      </c>
      <c r="E416" s="1051" t="str">
        <f>IF('R6a - Net Debt input'!F276 = "","",'R6a - Net Debt input'!F276)</f>
        <v/>
      </c>
      <c r="F416" s="1051"/>
      <c r="G416" s="1051"/>
      <c r="H416" s="1051"/>
      <c r="I416" s="1051"/>
      <c r="M416" s="779">
        <v>0</v>
      </c>
      <c r="N416" s="779">
        <v>0</v>
      </c>
      <c r="O416" s="779">
        <v>0</v>
      </c>
      <c r="P416" s="779">
        <v>0</v>
      </c>
      <c r="Q416" s="779">
        <v>0</v>
      </c>
      <c r="R416" s="779">
        <v>0</v>
      </c>
      <c r="S416" s="779">
        <v>0</v>
      </c>
      <c r="T416" s="779">
        <v>0</v>
      </c>
      <c r="U416" s="779">
        <v>0</v>
      </c>
      <c r="V416" s="779">
        <v>0</v>
      </c>
    </row>
    <row r="417" spans="2:24" outlineLevel="1">
      <c r="B417" s="729"/>
      <c r="C417" s="771" t="str">
        <f>IF('R6a - Net Debt input'!D277 = "","",'R6a - Net Debt input'!D277)</f>
        <v/>
      </c>
      <c r="D417" s="771" t="str">
        <f>IF('R6a - Net Debt input'!E277 = "","",'R6a - Net Debt input'!E277)</f>
        <v/>
      </c>
      <c r="E417" s="1051" t="str">
        <f>IF('R6a - Net Debt input'!F277 = "","",'R6a - Net Debt input'!F277)</f>
        <v/>
      </c>
      <c r="F417" s="1051"/>
      <c r="G417" s="1051"/>
      <c r="H417" s="1051"/>
      <c r="I417" s="1051"/>
      <c r="M417" s="779">
        <v>0</v>
      </c>
      <c r="N417" s="779">
        <v>0</v>
      </c>
      <c r="O417" s="779">
        <v>0</v>
      </c>
      <c r="P417" s="779">
        <v>0</v>
      </c>
      <c r="Q417" s="779">
        <v>0</v>
      </c>
      <c r="R417" s="779">
        <v>0</v>
      </c>
      <c r="S417" s="779">
        <v>0</v>
      </c>
      <c r="T417" s="779">
        <v>0</v>
      </c>
      <c r="U417" s="779">
        <v>0</v>
      </c>
      <c r="V417" s="779">
        <v>0</v>
      </c>
    </row>
    <row r="418" spans="2:24" outlineLevel="1">
      <c r="B418" s="730" t="s">
        <v>503</v>
      </c>
      <c r="C418" s="1056" t="s">
        <v>479</v>
      </c>
      <c r="D418" s="1056"/>
      <c r="E418" s="1056"/>
      <c r="F418" s="1056"/>
      <c r="G418" s="1056"/>
      <c r="H418" s="1056"/>
      <c r="I418" s="1056"/>
      <c r="M418" s="779">
        <v>0</v>
      </c>
      <c r="N418" s="779">
        <v>0</v>
      </c>
      <c r="O418" s="779">
        <v>0</v>
      </c>
      <c r="P418" s="779">
        <v>0</v>
      </c>
      <c r="Q418" s="779">
        <v>0</v>
      </c>
      <c r="R418" s="779">
        <v>0</v>
      </c>
      <c r="S418" s="779">
        <v>0</v>
      </c>
      <c r="T418" s="779">
        <v>0</v>
      </c>
      <c r="U418" s="779">
        <v>0</v>
      </c>
      <c r="V418" s="779">
        <v>0</v>
      </c>
    </row>
    <row r="419" spans="2:24">
      <c r="B419" s="117"/>
      <c r="E419" s="117"/>
      <c r="F419" s="117"/>
      <c r="G419" s="117"/>
      <c r="H419" s="117"/>
      <c r="L419" s="537" t="s">
        <v>504</v>
      </c>
      <c r="M419" s="780">
        <f t="shared" ref="M419:V419" si="69">SUM(M414:M418)</f>
        <v>20.6</v>
      </c>
      <c r="N419" s="780">
        <f t="shared" si="69"/>
        <v>0</v>
      </c>
      <c r="O419" s="780">
        <f t="shared" si="69"/>
        <v>0</v>
      </c>
      <c r="P419" s="780">
        <f t="shared" si="69"/>
        <v>0</v>
      </c>
      <c r="Q419" s="780">
        <f t="shared" si="69"/>
        <v>0</v>
      </c>
      <c r="R419" s="780">
        <f t="shared" si="69"/>
        <v>0</v>
      </c>
      <c r="S419" s="780">
        <f t="shared" si="69"/>
        <v>0</v>
      </c>
      <c r="T419" s="780">
        <f t="shared" si="69"/>
        <v>0</v>
      </c>
      <c r="U419" s="780">
        <f t="shared" si="69"/>
        <v>0</v>
      </c>
      <c r="V419" s="780">
        <f t="shared" si="69"/>
        <v>0</v>
      </c>
    </row>
    <row r="420" spans="2:24">
      <c r="B420" s="117"/>
    </row>
    <row r="421" spans="2:24" ht="17.5" outlineLevel="1">
      <c r="C421" s="98"/>
      <c r="D421" s="166" t="s">
        <v>403</v>
      </c>
      <c r="E421" s="167"/>
      <c r="F421" s="167"/>
      <c r="G421" s="167"/>
      <c r="H421" s="167"/>
      <c r="I421" s="167"/>
      <c r="J421" s="167"/>
      <c r="K421" s="167"/>
      <c r="L421" s="193"/>
      <c r="M421" s="167"/>
      <c r="N421" s="167"/>
      <c r="O421" s="167"/>
      <c r="P421" s="167"/>
      <c r="Q421" s="167"/>
      <c r="R421" s="167"/>
      <c r="S421" s="167"/>
      <c r="T421" s="167"/>
      <c r="U421" s="180"/>
      <c r="V421" s="167"/>
    </row>
    <row r="422" spans="2:24" outlineLevel="1">
      <c r="B422" s="117"/>
      <c r="C422" s="98"/>
      <c r="D422" s="98"/>
    </row>
    <row r="423" spans="2:24" ht="32.25" customHeight="1" outlineLevel="1">
      <c r="B423" s="726"/>
      <c r="C423" s="536" t="s">
        <v>469</v>
      </c>
      <c r="D423" s="536" t="s">
        <v>470</v>
      </c>
      <c r="E423" s="1058" t="s">
        <v>471</v>
      </c>
      <c r="F423" s="1058" t="s">
        <v>483</v>
      </c>
      <c r="G423" s="1058" t="s">
        <v>484</v>
      </c>
      <c r="H423" s="1058" t="s">
        <v>485</v>
      </c>
      <c r="I423" s="1058" t="s">
        <v>486</v>
      </c>
      <c r="U423" s="179"/>
    </row>
    <row r="424" spans="2:24" s="256" customFormat="1" ht="52.5" customHeight="1" outlineLevel="1">
      <c r="B424" s="727" t="s">
        <v>397</v>
      </c>
      <c r="C424" s="728" t="s">
        <v>472</v>
      </c>
      <c r="D424" s="728" t="s">
        <v>472</v>
      </c>
      <c r="E424" s="1058"/>
      <c r="F424" s="1058" t="s">
        <v>136</v>
      </c>
      <c r="G424" s="1058" t="s">
        <v>136</v>
      </c>
      <c r="H424" s="1058" t="s">
        <v>398</v>
      </c>
      <c r="I424" s="1058" t="s">
        <v>487</v>
      </c>
      <c r="J424" s="99"/>
      <c r="K424" s="99"/>
      <c r="L424" s="99"/>
      <c r="M424" s="728" t="s">
        <v>398</v>
      </c>
      <c r="N424" s="728" t="s">
        <v>398</v>
      </c>
      <c r="O424" s="728" t="s">
        <v>398</v>
      </c>
      <c r="P424" s="728" t="s">
        <v>398</v>
      </c>
      <c r="Q424" s="728" t="s">
        <v>398</v>
      </c>
      <c r="R424" s="728" t="s">
        <v>398</v>
      </c>
      <c r="S424" s="728" t="s">
        <v>398</v>
      </c>
      <c r="T424" s="728" t="s">
        <v>398</v>
      </c>
      <c r="U424" s="728" t="s">
        <v>398</v>
      </c>
      <c r="V424" s="728" t="s">
        <v>398</v>
      </c>
    </row>
    <row r="425" spans="2:24" outlineLevel="1">
      <c r="B425" s="775" t="s">
        <v>500</v>
      </c>
      <c r="C425" s="702">
        <f>IF('R6a - Net Debt input'!D274 = "","",'R6a - Net Debt input'!D274)</f>
        <v>40777</v>
      </c>
      <c r="D425" s="702">
        <f>IF('R6a - Net Debt input'!E274 = "","",'R6a - Net Debt input'!E274)</f>
        <v>54280</v>
      </c>
      <c r="E425" s="1062" t="str">
        <f>IF('R6a - Net Debt input'!F274 = "","",'R6a - Net Debt input'!F274)</f>
        <v>37 YR SWAP: PAY 12M/1Y RPI 1.6298% REAL RATE GBP RCV 12M/1Y RPI 1.6298% REAL RATE GBP 100.0 M MAT: 10-AUG-2048</v>
      </c>
      <c r="F425" s="1062" t="str">
        <f>IF('R6a - Net Debt input'!G274 = "","",'R6a - Net Debt input'!G274)</f>
        <v>GBP</v>
      </c>
      <c r="G425" s="1062" t="str">
        <f>IF('R6a - Net Debt input'!H274 = "","",'R6a - Net Debt input'!H274)</f>
        <v>GBP</v>
      </c>
      <c r="H425" s="1062">
        <f>IF('R6a - Net Debt input'!I274 = "","",'R6a - Net Debt input'!I274)</f>
        <v>-100</v>
      </c>
      <c r="I425" s="1062" t="str">
        <f>IF('R6a - Net Debt input'!J274 = "","",'R6a - Net Debt input'!J274)</f>
        <v>12m</v>
      </c>
      <c r="M425" s="779">
        <v>0</v>
      </c>
      <c r="N425" s="779">
        <v>0</v>
      </c>
      <c r="O425" s="779">
        <v>0</v>
      </c>
      <c r="P425" s="779">
        <v>0</v>
      </c>
      <c r="Q425" s="779">
        <v>0</v>
      </c>
      <c r="R425" s="779">
        <v>0</v>
      </c>
      <c r="S425" s="779">
        <v>0</v>
      </c>
      <c r="T425" s="779">
        <v>0</v>
      </c>
      <c r="U425" s="779">
        <v>0</v>
      </c>
      <c r="V425" s="779">
        <v>0</v>
      </c>
    </row>
    <row r="426" spans="2:24" outlineLevel="1">
      <c r="B426" s="775" t="s">
        <v>501</v>
      </c>
      <c r="C426" s="702">
        <f>IF('R6a - Net Debt input'!D275 = "","",'R6a - Net Debt input'!D275)</f>
        <v>40777</v>
      </c>
      <c r="D426" s="702">
        <f>IF('R6a - Net Debt input'!E275 = "","",'R6a - Net Debt input'!E275)</f>
        <v>54284</v>
      </c>
      <c r="E426" s="1062" t="str">
        <f>IF('R6a - Net Debt input'!F275 = "","",'R6a - Net Debt input'!F275)</f>
        <v>37 YR SWAP: PAY 12M/1Y RPI 1.5522% REAL RATE GBP RCV 12M/1Y RPI 1.5522% REAL RATE GBP 100.0 M MAT: 14-AUG-2048</v>
      </c>
      <c r="F426" s="1062" t="str">
        <f>IF('R6a - Net Debt input'!G275 = "","",'R6a - Net Debt input'!G275)</f>
        <v>GBP</v>
      </c>
      <c r="G426" s="1062" t="str">
        <f>IF('R6a - Net Debt input'!H275 = "","",'R6a - Net Debt input'!H275)</f>
        <v>GBP</v>
      </c>
      <c r="H426" s="1062">
        <f>IF('R6a - Net Debt input'!I275 = "","",'R6a - Net Debt input'!I275)</f>
        <v>-100</v>
      </c>
      <c r="I426" s="1062" t="str">
        <f>IF('R6a - Net Debt input'!J275 = "","",'R6a - Net Debt input'!J275)</f>
        <v>12m</v>
      </c>
      <c r="M426" s="779">
        <v>0</v>
      </c>
      <c r="N426" s="779">
        <v>0</v>
      </c>
      <c r="O426" s="779">
        <v>0</v>
      </c>
      <c r="P426" s="779">
        <v>0</v>
      </c>
      <c r="Q426" s="779">
        <v>0</v>
      </c>
      <c r="R426" s="779">
        <v>0</v>
      </c>
      <c r="S426" s="779">
        <v>0</v>
      </c>
      <c r="T426" s="779">
        <v>0</v>
      </c>
      <c r="U426" s="779">
        <v>0</v>
      </c>
      <c r="V426" s="779">
        <v>0</v>
      </c>
    </row>
    <row r="427" spans="2:24" outlineLevel="1">
      <c r="B427" s="775" t="s">
        <v>502</v>
      </c>
      <c r="C427" s="702" t="str">
        <f>IF('R6a - Net Debt input'!D276 = "","",'R6a - Net Debt input'!D276)</f>
        <v/>
      </c>
      <c r="D427" s="702" t="str">
        <f>IF('R6a - Net Debt input'!E276 = "","",'R6a - Net Debt input'!E276)</f>
        <v/>
      </c>
      <c r="E427" s="1062" t="str">
        <f>IF('R6a - Net Debt input'!F276 = "","",'R6a - Net Debt input'!F276)</f>
        <v/>
      </c>
      <c r="F427" s="1062" t="str">
        <f>IF('R6a - Net Debt input'!G276 = "","",'R6a - Net Debt input'!G276)</f>
        <v/>
      </c>
      <c r="G427" s="1062" t="str">
        <f>IF('R6a - Net Debt input'!H276 = "","",'R6a - Net Debt input'!H276)</f>
        <v/>
      </c>
      <c r="H427" s="1062" t="str">
        <f>IF('R6a - Net Debt input'!I276 = "","",'R6a - Net Debt input'!I276)</f>
        <v/>
      </c>
      <c r="I427" s="1062" t="str">
        <f>IF('R6a - Net Debt input'!J276 = "","",'R6a - Net Debt input'!J276)</f>
        <v/>
      </c>
      <c r="M427" s="779">
        <v>0</v>
      </c>
      <c r="N427" s="779">
        <v>0</v>
      </c>
      <c r="O427" s="779">
        <v>0</v>
      </c>
      <c r="P427" s="779">
        <v>0</v>
      </c>
      <c r="Q427" s="779">
        <v>0</v>
      </c>
      <c r="R427" s="779">
        <v>0</v>
      </c>
      <c r="S427" s="779">
        <v>0</v>
      </c>
      <c r="T427" s="779">
        <v>0</v>
      </c>
      <c r="U427" s="779">
        <v>0</v>
      </c>
      <c r="V427" s="779">
        <v>0</v>
      </c>
    </row>
    <row r="428" spans="2:24" outlineLevel="1">
      <c r="B428" s="730" t="s">
        <v>503</v>
      </c>
      <c r="C428" s="1056" t="s">
        <v>479</v>
      </c>
      <c r="D428" s="1056"/>
      <c r="E428" s="1056"/>
      <c r="F428" s="1056"/>
      <c r="G428" s="1056"/>
      <c r="H428" s="1056"/>
      <c r="I428" s="1056"/>
      <c r="M428" s="779">
        <v>0</v>
      </c>
      <c r="N428" s="779">
        <v>0</v>
      </c>
      <c r="O428" s="779">
        <v>0</v>
      </c>
      <c r="P428" s="779">
        <v>0</v>
      </c>
      <c r="Q428" s="779">
        <v>0</v>
      </c>
      <c r="R428" s="779">
        <v>0</v>
      </c>
      <c r="S428" s="779">
        <v>0</v>
      </c>
      <c r="T428" s="779">
        <v>0</v>
      </c>
      <c r="U428" s="779">
        <v>0</v>
      </c>
      <c r="V428" s="779">
        <v>0</v>
      </c>
    </row>
    <row r="429" spans="2:24">
      <c r="B429" s="117"/>
      <c r="E429" s="117"/>
      <c r="F429" s="117"/>
      <c r="G429" s="117"/>
      <c r="H429" s="117"/>
      <c r="L429" s="537" t="s">
        <v>504</v>
      </c>
      <c r="M429" s="780">
        <f t="shared" ref="M429:V429" si="70">SUM(M425:M428)</f>
        <v>0</v>
      </c>
      <c r="N429" s="780">
        <f t="shared" si="70"/>
        <v>0</v>
      </c>
      <c r="O429" s="780">
        <f t="shared" si="70"/>
        <v>0</v>
      </c>
      <c r="P429" s="780">
        <f t="shared" si="70"/>
        <v>0</v>
      </c>
      <c r="Q429" s="780">
        <f t="shared" si="70"/>
        <v>0</v>
      </c>
      <c r="R429" s="780">
        <f t="shared" si="70"/>
        <v>0</v>
      </c>
      <c r="S429" s="780">
        <f t="shared" si="70"/>
        <v>0</v>
      </c>
      <c r="T429" s="780">
        <f t="shared" si="70"/>
        <v>0</v>
      </c>
      <c r="U429" s="780">
        <f t="shared" si="70"/>
        <v>0</v>
      </c>
      <c r="V429" s="780">
        <f t="shared" si="70"/>
        <v>0</v>
      </c>
    </row>
    <row r="430" spans="2:24">
      <c r="B430" s="117"/>
      <c r="E430" s="117"/>
      <c r="F430" s="117"/>
      <c r="G430" s="117"/>
      <c r="H430" s="117"/>
      <c r="X430" s="179"/>
    </row>
    <row r="431" spans="2:24" ht="14">
      <c r="B431" s="156" t="s">
        <v>505</v>
      </c>
      <c r="C431" s="157" t="s">
        <v>506</v>
      </c>
      <c r="D431" s="157"/>
      <c r="E431" s="157"/>
      <c r="F431" s="157"/>
      <c r="G431" s="158"/>
      <c r="H431" s="158"/>
      <c r="I431" s="158"/>
      <c r="J431" s="158"/>
      <c r="K431" s="158"/>
      <c r="L431" s="156"/>
      <c r="M431" s="157"/>
      <c r="N431" s="157"/>
      <c r="O431" s="157"/>
      <c r="P431" s="157"/>
      <c r="Q431" s="157"/>
      <c r="R431" s="157"/>
      <c r="S431" s="157"/>
      <c r="T431" s="157"/>
      <c r="U431" s="183"/>
      <c r="V431" s="157"/>
    </row>
    <row r="433" spans="2:22" ht="17.5" outlineLevel="1">
      <c r="B433" s="101"/>
      <c r="C433" s="98"/>
      <c r="D433" s="166" t="s">
        <v>396</v>
      </c>
      <c r="E433" s="168"/>
      <c r="F433" s="168"/>
      <c r="G433" s="167"/>
      <c r="H433" s="167"/>
      <c r="I433" s="167"/>
      <c r="J433" s="167"/>
      <c r="K433" s="167"/>
      <c r="L433" s="193"/>
      <c r="M433" s="168"/>
      <c r="N433" s="168"/>
      <c r="O433" s="168"/>
      <c r="P433" s="168"/>
      <c r="Q433" s="168"/>
      <c r="R433" s="168"/>
      <c r="S433" s="168"/>
      <c r="T433" s="168"/>
      <c r="U433" s="185"/>
      <c r="V433" s="168"/>
    </row>
    <row r="435" spans="2:22" ht="25.5" customHeight="1" outlineLevel="1">
      <c r="B435" s="731"/>
      <c r="C435" s="536" t="s">
        <v>469</v>
      </c>
      <c r="D435" s="536" t="s">
        <v>470</v>
      </c>
      <c r="E435" s="1058" t="s">
        <v>471</v>
      </c>
      <c r="F435" s="1058"/>
      <c r="G435" s="1058"/>
      <c r="H435" s="1058"/>
      <c r="I435" s="1058"/>
      <c r="U435" s="179"/>
    </row>
    <row r="436" spans="2:22" ht="25.5" customHeight="1" outlineLevel="1">
      <c r="B436" s="729" t="s">
        <v>397</v>
      </c>
      <c r="C436" s="536" t="s">
        <v>472</v>
      </c>
      <c r="D436" s="536" t="s">
        <v>472</v>
      </c>
      <c r="E436" s="1058"/>
      <c r="F436" s="1058"/>
      <c r="G436" s="1058"/>
      <c r="H436" s="1058"/>
      <c r="I436" s="1058"/>
      <c r="M436" s="536" t="s">
        <v>398</v>
      </c>
      <c r="N436" s="536" t="s">
        <v>398</v>
      </c>
      <c r="O436" s="536" t="s">
        <v>398</v>
      </c>
      <c r="P436" s="536" t="s">
        <v>398</v>
      </c>
      <c r="Q436" s="536" t="s">
        <v>398</v>
      </c>
      <c r="R436" s="536" t="s">
        <v>398</v>
      </c>
      <c r="S436" s="536" t="s">
        <v>398</v>
      </c>
      <c r="T436" s="536" t="s">
        <v>398</v>
      </c>
      <c r="U436" s="536" t="s">
        <v>398</v>
      </c>
      <c r="V436" s="536" t="s">
        <v>398</v>
      </c>
    </row>
    <row r="437" spans="2:22" outlineLevel="1">
      <c r="B437" s="729" t="s">
        <v>507</v>
      </c>
      <c r="C437" s="732" t="str">
        <f>IF('R6a - Net Debt input'!D290 = "","",'R6a - Net Debt input'!D290)</f>
        <v/>
      </c>
      <c r="D437" s="732" t="str">
        <f>IF('R6a - Net Debt input'!E290 = "","",'R6a - Net Debt input'!E290)</f>
        <v/>
      </c>
      <c r="E437" s="1059" t="str">
        <f>IF('R6a - Net Debt input'!F290 = "","",'R6a - Net Debt input'!F290)</f>
        <v/>
      </c>
      <c r="F437" s="1060"/>
      <c r="G437" s="1060"/>
      <c r="H437" s="1060"/>
      <c r="I437" s="1061"/>
      <c r="M437" s="779">
        <v>0</v>
      </c>
      <c r="N437" s="779">
        <v>0</v>
      </c>
      <c r="O437" s="779">
        <v>0</v>
      </c>
      <c r="P437" s="779">
        <v>0</v>
      </c>
      <c r="Q437" s="779">
        <v>0</v>
      </c>
      <c r="R437" s="779">
        <v>0</v>
      </c>
      <c r="S437" s="779">
        <v>0</v>
      </c>
      <c r="T437" s="779">
        <v>0</v>
      </c>
      <c r="U437" s="779">
        <v>0</v>
      </c>
      <c r="V437" s="779">
        <v>0</v>
      </c>
    </row>
    <row r="438" spans="2:22" outlineLevel="1">
      <c r="B438" s="729" t="s">
        <v>508</v>
      </c>
      <c r="C438" s="732" t="str">
        <f>IF('R6a - Net Debt input'!D291 = "","",'R6a - Net Debt input'!D291)</f>
        <v/>
      </c>
      <c r="D438" s="732" t="str">
        <f>IF('R6a - Net Debt input'!E291 = "","",'R6a - Net Debt input'!E291)</f>
        <v/>
      </c>
      <c r="E438" s="1059" t="str">
        <f>IF('R6a - Net Debt input'!F291 = "","",'R6a - Net Debt input'!F291)</f>
        <v/>
      </c>
      <c r="F438" s="1060"/>
      <c r="G438" s="1060"/>
      <c r="H438" s="1060"/>
      <c r="I438" s="1061"/>
      <c r="M438" s="779">
        <v>0</v>
      </c>
      <c r="N438" s="779">
        <v>0</v>
      </c>
      <c r="O438" s="779">
        <v>0</v>
      </c>
      <c r="P438" s="779">
        <v>0</v>
      </c>
      <c r="Q438" s="779">
        <v>0</v>
      </c>
      <c r="R438" s="779">
        <v>0</v>
      </c>
      <c r="S438" s="779">
        <v>0</v>
      </c>
      <c r="T438" s="779">
        <v>0</v>
      </c>
      <c r="U438" s="779">
        <v>0</v>
      </c>
      <c r="V438" s="779">
        <v>0</v>
      </c>
    </row>
    <row r="439" spans="2:22" outlineLevel="1">
      <c r="B439" s="729" t="s">
        <v>509</v>
      </c>
      <c r="C439" s="732" t="str">
        <f>IF('R6a - Net Debt input'!D292 = "","",'R6a - Net Debt input'!D292)</f>
        <v/>
      </c>
      <c r="D439" s="732" t="str">
        <f>IF('R6a - Net Debt input'!E292 = "","",'R6a - Net Debt input'!E292)</f>
        <v/>
      </c>
      <c r="E439" s="1059" t="str">
        <f>IF('R6a - Net Debt input'!F292 = "","",'R6a - Net Debt input'!F292)</f>
        <v/>
      </c>
      <c r="F439" s="1060"/>
      <c r="G439" s="1060"/>
      <c r="H439" s="1060"/>
      <c r="I439" s="1061"/>
      <c r="M439" s="779">
        <v>0</v>
      </c>
      <c r="N439" s="779">
        <v>0</v>
      </c>
      <c r="O439" s="779">
        <v>0</v>
      </c>
      <c r="P439" s="779">
        <v>0</v>
      </c>
      <c r="Q439" s="779">
        <v>0</v>
      </c>
      <c r="R439" s="779">
        <v>0</v>
      </c>
      <c r="S439" s="779">
        <v>0</v>
      </c>
      <c r="T439" s="779">
        <v>0</v>
      </c>
      <c r="U439" s="779">
        <v>0</v>
      </c>
      <c r="V439" s="779">
        <v>0</v>
      </c>
    </row>
    <row r="440" spans="2:22" outlineLevel="1">
      <c r="B440" s="729" t="s">
        <v>510</v>
      </c>
      <c r="C440" s="732" t="str">
        <f>IF('R6a - Net Debt input'!D293 = "","",'R6a - Net Debt input'!D293)</f>
        <v/>
      </c>
      <c r="D440" s="732" t="str">
        <f>IF('R6a - Net Debt input'!E293 = "","",'R6a - Net Debt input'!E293)</f>
        <v/>
      </c>
      <c r="E440" s="1059" t="str">
        <f>IF('R6a - Net Debt input'!F293 = "","",'R6a - Net Debt input'!F293)</f>
        <v/>
      </c>
      <c r="F440" s="1060"/>
      <c r="G440" s="1060"/>
      <c r="H440" s="1060"/>
      <c r="I440" s="1061"/>
      <c r="M440" s="779">
        <v>0</v>
      </c>
      <c r="N440" s="779">
        <v>0</v>
      </c>
      <c r="O440" s="779">
        <v>0</v>
      </c>
      <c r="P440" s="779">
        <v>0</v>
      </c>
      <c r="Q440" s="779">
        <v>0</v>
      </c>
      <c r="R440" s="779">
        <v>0</v>
      </c>
      <c r="S440" s="779">
        <v>0</v>
      </c>
      <c r="T440" s="779">
        <v>0</v>
      </c>
      <c r="U440" s="779">
        <v>0</v>
      </c>
      <c r="V440" s="779">
        <v>0</v>
      </c>
    </row>
    <row r="441" spans="2:22" outlineLevel="1">
      <c r="B441" s="729" t="s">
        <v>511</v>
      </c>
      <c r="C441" s="1056" t="s">
        <v>479</v>
      </c>
      <c r="D441" s="1056"/>
      <c r="E441" s="1056"/>
      <c r="F441" s="1056"/>
      <c r="G441" s="1056"/>
      <c r="H441" s="1056"/>
      <c r="I441" s="1056"/>
      <c r="M441" s="779">
        <v>0</v>
      </c>
      <c r="N441" s="779">
        <v>0</v>
      </c>
      <c r="O441" s="779">
        <v>0</v>
      </c>
      <c r="P441" s="779">
        <v>0</v>
      </c>
      <c r="Q441" s="779">
        <v>0</v>
      </c>
      <c r="R441" s="779">
        <v>0</v>
      </c>
      <c r="S441" s="779">
        <v>0</v>
      </c>
      <c r="T441" s="779">
        <v>0</v>
      </c>
      <c r="U441" s="779">
        <v>0</v>
      </c>
      <c r="V441" s="779">
        <v>0</v>
      </c>
    </row>
    <row r="442" spans="2:22">
      <c r="B442" s="117"/>
      <c r="E442" s="117"/>
      <c r="F442" s="117"/>
      <c r="G442" s="117"/>
      <c r="H442" s="117"/>
      <c r="L442" s="537" t="s">
        <v>512</v>
      </c>
      <c r="M442" s="780">
        <f t="shared" ref="M442:V442" si="71">SUM(M437:M441)</f>
        <v>0</v>
      </c>
      <c r="N442" s="780">
        <f t="shared" si="71"/>
        <v>0</v>
      </c>
      <c r="O442" s="780">
        <f t="shared" si="71"/>
        <v>0</v>
      </c>
      <c r="P442" s="780">
        <f t="shared" si="71"/>
        <v>0</v>
      </c>
      <c r="Q442" s="780">
        <f t="shared" si="71"/>
        <v>0</v>
      </c>
      <c r="R442" s="780">
        <f t="shared" si="71"/>
        <v>0</v>
      </c>
      <c r="S442" s="780">
        <f t="shared" si="71"/>
        <v>0</v>
      </c>
      <c r="T442" s="780">
        <f t="shared" si="71"/>
        <v>0</v>
      </c>
      <c r="U442" s="780">
        <f t="shared" si="71"/>
        <v>0</v>
      </c>
      <c r="V442" s="780">
        <f t="shared" si="71"/>
        <v>0</v>
      </c>
    </row>
    <row r="443" spans="2:22">
      <c r="B443" s="117"/>
    </row>
    <row r="444" spans="2:22" ht="17.5" outlineLevel="1">
      <c r="C444" s="98"/>
      <c r="D444" s="166" t="s">
        <v>403</v>
      </c>
      <c r="E444" s="167"/>
      <c r="F444" s="167"/>
      <c r="G444" s="167"/>
      <c r="H444" s="167"/>
      <c r="I444" s="167"/>
      <c r="J444" s="167"/>
      <c r="K444" s="167"/>
      <c r="L444" s="193"/>
      <c r="M444" s="167"/>
      <c r="N444" s="167"/>
      <c r="O444" s="167"/>
      <c r="P444" s="167"/>
      <c r="Q444" s="167"/>
      <c r="R444" s="167"/>
      <c r="S444" s="167"/>
      <c r="T444" s="167"/>
      <c r="U444" s="180"/>
      <c r="V444" s="167"/>
    </row>
    <row r="445" spans="2:22" outlineLevel="1">
      <c r="B445" s="117"/>
    </row>
    <row r="446" spans="2:22" ht="25.5" customHeight="1" outlineLevel="1">
      <c r="B446" s="731"/>
      <c r="C446" s="536" t="s">
        <v>469</v>
      </c>
      <c r="D446" s="536" t="s">
        <v>470</v>
      </c>
      <c r="E446" s="1058" t="s">
        <v>471</v>
      </c>
      <c r="F446" s="1058"/>
      <c r="G446" s="1058"/>
      <c r="H446" s="1058"/>
      <c r="I446" s="1058"/>
      <c r="U446" s="179"/>
    </row>
    <row r="447" spans="2:22" ht="25.5" customHeight="1" outlineLevel="1">
      <c r="B447" s="729" t="s">
        <v>397</v>
      </c>
      <c r="C447" s="536" t="s">
        <v>472</v>
      </c>
      <c r="D447" s="536" t="s">
        <v>472</v>
      </c>
      <c r="E447" s="1058"/>
      <c r="F447" s="1058"/>
      <c r="G447" s="1058"/>
      <c r="H447" s="1058"/>
      <c r="I447" s="1058"/>
      <c r="M447" s="536" t="s">
        <v>398</v>
      </c>
      <c r="N447" s="536" t="s">
        <v>398</v>
      </c>
      <c r="O447" s="536" t="s">
        <v>398</v>
      </c>
      <c r="P447" s="536" t="s">
        <v>398</v>
      </c>
      <c r="Q447" s="536" t="s">
        <v>398</v>
      </c>
      <c r="R447" s="536" t="s">
        <v>398</v>
      </c>
      <c r="S447" s="536" t="s">
        <v>398</v>
      </c>
      <c r="T447" s="536" t="s">
        <v>398</v>
      </c>
      <c r="U447" s="536" t="s">
        <v>398</v>
      </c>
      <c r="V447" s="536" t="s">
        <v>398</v>
      </c>
    </row>
    <row r="448" spans="2:22" outlineLevel="1">
      <c r="B448" s="729" t="s">
        <v>507</v>
      </c>
      <c r="C448" s="732" t="str">
        <f>IF('R6a - Net Debt input'!D290 = "","",'R6a - Net Debt input'!D290)</f>
        <v/>
      </c>
      <c r="D448" s="732" t="str">
        <f>IF('R6a - Net Debt input'!E290 = "","",'R6a - Net Debt input'!E290)</f>
        <v/>
      </c>
      <c r="E448" s="1057" t="str">
        <f>IF('R6a - Net Debt input'!F290 = "","",'R6a - Net Debt input'!F290)</f>
        <v/>
      </c>
      <c r="F448" s="1057" t="str">
        <f>IF('R6a - Net Debt input'!G290 = "","",'R6a - Net Debt input'!G290)</f>
        <v/>
      </c>
      <c r="G448" s="1057" t="str">
        <f>IF('R6a - Net Debt input'!H290 = "","",'R6a - Net Debt input'!H290)</f>
        <v/>
      </c>
      <c r="H448" s="1057" t="str">
        <f>IF('R6a - Net Debt input'!I290 = "","",'R6a - Net Debt input'!I290)</f>
        <v/>
      </c>
      <c r="I448" s="1057" t="str">
        <f>IF('R6a - Net Debt input'!J290 = "","",'R6a - Net Debt input'!J290)</f>
        <v/>
      </c>
      <c r="M448" s="779">
        <v>0</v>
      </c>
      <c r="N448" s="779">
        <v>0</v>
      </c>
      <c r="O448" s="779">
        <v>0</v>
      </c>
      <c r="P448" s="779">
        <v>0</v>
      </c>
      <c r="Q448" s="779">
        <v>0</v>
      </c>
      <c r="R448" s="779">
        <v>0</v>
      </c>
      <c r="S448" s="779">
        <v>0</v>
      </c>
      <c r="T448" s="779">
        <v>0</v>
      </c>
      <c r="U448" s="779">
        <v>0</v>
      </c>
      <c r="V448" s="779">
        <v>0</v>
      </c>
    </row>
    <row r="449" spans="2:22" outlineLevel="1">
      <c r="B449" s="729" t="s">
        <v>508</v>
      </c>
      <c r="C449" s="732" t="str">
        <f>IF('R6a - Net Debt input'!D291 = "","",'R6a - Net Debt input'!D291)</f>
        <v/>
      </c>
      <c r="D449" s="732" t="str">
        <f>IF('R6a - Net Debt input'!E291 = "","",'R6a - Net Debt input'!E291)</f>
        <v/>
      </c>
      <c r="E449" s="1051" t="str">
        <f>IF('R6a - Net Debt input'!F291 = "","",'R6a - Net Debt input'!F291)</f>
        <v/>
      </c>
      <c r="F449" s="1051" t="str">
        <f>IF('R6a - Net Debt input'!G291 = "","",'R6a - Net Debt input'!G291)</f>
        <v/>
      </c>
      <c r="G449" s="1051" t="str">
        <f>IF('R6a - Net Debt input'!H291 = "","",'R6a - Net Debt input'!H291)</f>
        <v/>
      </c>
      <c r="H449" s="1051" t="str">
        <f>IF('R6a - Net Debt input'!I291 = "","",'R6a - Net Debt input'!I291)</f>
        <v/>
      </c>
      <c r="I449" s="1051" t="str">
        <f>IF('R6a - Net Debt input'!J291 = "","",'R6a - Net Debt input'!J291)</f>
        <v/>
      </c>
      <c r="M449" s="779">
        <v>0</v>
      </c>
      <c r="N449" s="779">
        <v>0</v>
      </c>
      <c r="O449" s="779">
        <v>0</v>
      </c>
      <c r="P449" s="779">
        <v>0</v>
      </c>
      <c r="Q449" s="779">
        <v>0</v>
      </c>
      <c r="R449" s="779">
        <v>0</v>
      </c>
      <c r="S449" s="779">
        <v>0</v>
      </c>
      <c r="T449" s="779">
        <v>0</v>
      </c>
      <c r="U449" s="779">
        <v>0</v>
      </c>
      <c r="V449" s="779">
        <v>0</v>
      </c>
    </row>
    <row r="450" spans="2:22" outlineLevel="1">
      <c r="B450" s="729" t="s">
        <v>509</v>
      </c>
      <c r="C450" s="732" t="str">
        <f>IF('R6a - Net Debt input'!D292 = "","",'R6a - Net Debt input'!D292)</f>
        <v/>
      </c>
      <c r="D450" s="732" t="str">
        <f>IF('R6a - Net Debt input'!E292 = "","",'R6a - Net Debt input'!E292)</f>
        <v/>
      </c>
      <c r="E450" s="1051" t="str">
        <f>IF('R6a - Net Debt input'!F292 = "","",'R6a - Net Debt input'!F292)</f>
        <v/>
      </c>
      <c r="F450" s="1051" t="str">
        <f>IF('R6a - Net Debt input'!G292 = "","",'R6a - Net Debt input'!G292)</f>
        <v/>
      </c>
      <c r="G450" s="1051" t="str">
        <f>IF('R6a - Net Debt input'!H292 = "","",'R6a - Net Debt input'!H292)</f>
        <v/>
      </c>
      <c r="H450" s="1051" t="str">
        <f>IF('R6a - Net Debt input'!I292 = "","",'R6a - Net Debt input'!I292)</f>
        <v/>
      </c>
      <c r="I450" s="1051" t="str">
        <f>IF('R6a - Net Debt input'!J292 = "","",'R6a - Net Debt input'!J292)</f>
        <v/>
      </c>
      <c r="M450" s="779">
        <v>0</v>
      </c>
      <c r="N450" s="779">
        <v>0</v>
      </c>
      <c r="O450" s="779">
        <v>0</v>
      </c>
      <c r="P450" s="779">
        <v>0</v>
      </c>
      <c r="Q450" s="779">
        <v>0</v>
      </c>
      <c r="R450" s="779">
        <v>0</v>
      </c>
      <c r="S450" s="779">
        <v>0</v>
      </c>
      <c r="T450" s="779">
        <v>0</v>
      </c>
      <c r="U450" s="779">
        <v>0</v>
      </c>
      <c r="V450" s="779">
        <v>0</v>
      </c>
    </row>
    <row r="451" spans="2:22" outlineLevel="1">
      <c r="B451" s="729" t="s">
        <v>510</v>
      </c>
      <c r="C451" s="732" t="str">
        <f>IF('R6a - Net Debt input'!D293 = "","",'R6a - Net Debt input'!D293)</f>
        <v/>
      </c>
      <c r="D451" s="732" t="str">
        <f>IF('R6a - Net Debt input'!E293 = "","",'R6a - Net Debt input'!E293)</f>
        <v/>
      </c>
      <c r="E451" s="1051" t="str">
        <f>IF('R6a - Net Debt input'!F293 = "","",'R6a - Net Debt input'!F293)</f>
        <v/>
      </c>
      <c r="F451" s="1051" t="str">
        <f>IF('R6a - Net Debt input'!G293 = "","",'R6a - Net Debt input'!G293)</f>
        <v/>
      </c>
      <c r="G451" s="1051" t="str">
        <f>IF('R6a - Net Debt input'!H293 = "","",'R6a - Net Debt input'!H293)</f>
        <v/>
      </c>
      <c r="H451" s="1051" t="str">
        <f>IF('R6a - Net Debt input'!I293 = "","",'R6a - Net Debt input'!I293)</f>
        <v/>
      </c>
      <c r="I451" s="1051" t="str">
        <f>IF('R6a - Net Debt input'!J293 = "","",'R6a - Net Debt input'!J293)</f>
        <v/>
      </c>
      <c r="M451" s="779">
        <v>0</v>
      </c>
      <c r="N451" s="779">
        <v>0</v>
      </c>
      <c r="O451" s="779">
        <v>0</v>
      </c>
      <c r="P451" s="779">
        <v>0</v>
      </c>
      <c r="Q451" s="779">
        <v>0</v>
      </c>
      <c r="R451" s="779">
        <v>0</v>
      </c>
      <c r="S451" s="779">
        <v>0</v>
      </c>
      <c r="T451" s="779">
        <v>0</v>
      </c>
      <c r="U451" s="779">
        <v>0</v>
      </c>
      <c r="V451" s="779">
        <v>0</v>
      </c>
    </row>
    <row r="452" spans="2:22" outlineLevel="1">
      <c r="B452" s="729" t="s">
        <v>511</v>
      </c>
      <c r="C452" s="1056" t="s">
        <v>479</v>
      </c>
      <c r="D452" s="1056"/>
      <c r="E452" s="1056"/>
      <c r="F452" s="1056"/>
      <c r="G452" s="1056"/>
      <c r="H452" s="1056"/>
      <c r="I452" s="1056"/>
      <c r="M452" s="779">
        <v>0</v>
      </c>
      <c r="N452" s="779">
        <v>0</v>
      </c>
      <c r="O452" s="779">
        <v>0</v>
      </c>
      <c r="P452" s="779">
        <v>0</v>
      </c>
      <c r="Q452" s="779">
        <v>0</v>
      </c>
      <c r="R452" s="779">
        <v>0</v>
      </c>
      <c r="S452" s="779">
        <v>0</v>
      </c>
      <c r="T452" s="779">
        <v>0</v>
      </c>
      <c r="U452" s="779">
        <v>0</v>
      </c>
      <c r="V452" s="779">
        <v>0</v>
      </c>
    </row>
    <row r="453" spans="2:22">
      <c r="B453" s="117"/>
      <c r="E453" s="117"/>
      <c r="F453" s="117"/>
      <c r="G453" s="117"/>
      <c r="H453" s="117"/>
      <c r="L453" s="537" t="s">
        <v>512</v>
      </c>
      <c r="M453" s="780">
        <f t="shared" ref="M453:V453" si="72">SUM(M448:M452)</f>
        <v>0</v>
      </c>
      <c r="N453" s="780">
        <f t="shared" si="72"/>
        <v>0</v>
      </c>
      <c r="O453" s="780">
        <f t="shared" si="72"/>
        <v>0</v>
      </c>
      <c r="P453" s="780">
        <f t="shared" si="72"/>
        <v>0</v>
      </c>
      <c r="Q453" s="780">
        <f t="shared" si="72"/>
        <v>0</v>
      </c>
      <c r="R453" s="780">
        <f t="shared" si="72"/>
        <v>0</v>
      </c>
      <c r="S453" s="780">
        <f t="shared" si="72"/>
        <v>0</v>
      </c>
      <c r="T453" s="780">
        <f t="shared" si="72"/>
        <v>0</v>
      </c>
      <c r="U453" s="780">
        <f t="shared" si="72"/>
        <v>0</v>
      </c>
      <c r="V453" s="780">
        <f t="shared" si="72"/>
        <v>0</v>
      </c>
    </row>
    <row r="454" spans="2:22">
      <c r="B454" s="117"/>
      <c r="E454" s="117"/>
      <c r="F454" s="117"/>
      <c r="G454" s="117"/>
      <c r="H454" s="117"/>
      <c r="U454" s="179"/>
    </row>
    <row r="455" spans="2:22" ht="14">
      <c r="B455" s="156" t="s">
        <v>513</v>
      </c>
      <c r="C455" s="157" t="s">
        <v>514</v>
      </c>
      <c r="D455" s="157"/>
      <c r="E455" s="157"/>
      <c r="F455" s="157"/>
      <c r="G455" s="158"/>
      <c r="H455" s="158"/>
      <c r="I455" s="158"/>
      <c r="J455" s="158"/>
      <c r="K455" s="158"/>
      <c r="L455" s="156"/>
      <c r="M455" s="157"/>
      <c r="N455" s="157"/>
      <c r="O455" s="157"/>
      <c r="P455" s="157"/>
      <c r="Q455" s="157"/>
      <c r="R455" s="157"/>
      <c r="S455" s="157"/>
      <c r="T455" s="157"/>
      <c r="U455" s="183"/>
      <c r="V455" s="157"/>
    </row>
    <row r="457" spans="2:22" ht="17.5" outlineLevel="1">
      <c r="B457" s="101"/>
      <c r="C457" s="98"/>
      <c r="D457" s="166" t="s">
        <v>396</v>
      </c>
      <c r="E457" s="168"/>
      <c r="F457" s="168"/>
      <c r="G457" s="167"/>
      <c r="H457" s="167"/>
      <c r="I457" s="167"/>
      <c r="J457" s="167"/>
      <c r="K457" s="167"/>
      <c r="L457" s="193"/>
      <c r="M457" s="168"/>
      <c r="N457" s="168"/>
      <c r="O457" s="168"/>
      <c r="P457" s="168"/>
      <c r="Q457" s="168"/>
      <c r="R457" s="168"/>
      <c r="S457" s="168"/>
      <c r="T457" s="168"/>
      <c r="U457" s="185"/>
      <c r="V457" s="168"/>
    </row>
    <row r="459" spans="2:22" ht="25.5" customHeight="1" outlineLevel="1">
      <c r="B459" s="731"/>
      <c r="C459" s="536" t="s">
        <v>469</v>
      </c>
      <c r="D459" s="536" t="s">
        <v>470</v>
      </c>
      <c r="E459" s="1058" t="s">
        <v>471</v>
      </c>
      <c r="F459" s="1058"/>
      <c r="G459" s="1058"/>
      <c r="H459" s="1058"/>
      <c r="I459" s="1058"/>
      <c r="U459" s="179"/>
    </row>
    <row r="460" spans="2:22" ht="12.75" customHeight="1" outlineLevel="1">
      <c r="B460" s="729" t="s">
        <v>397</v>
      </c>
      <c r="C460" s="536" t="s">
        <v>472</v>
      </c>
      <c r="D460" s="536" t="s">
        <v>472</v>
      </c>
      <c r="E460" s="1058"/>
      <c r="F460" s="1058"/>
      <c r="G460" s="1058"/>
      <c r="H460" s="1058"/>
      <c r="I460" s="1058"/>
      <c r="M460" s="536" t="s">
        <v>398</v>
      </c>
      <c r="N460" s="536" t="s">
        <v>398</v>
      </c>
      <c r="O460" s="536" t="s">
        <v>398</v>
      </c>
      <c r="P460" s="536" t="s">
        <v>398</v>
      </c>
      <c r="Q460" s="536" t="s">
        <v>398</v>
      </c>
      <c r="R460" s="536" t="s">
        <v>398</v>
      </c>
      <c r="S460" s="536" t="s">
        <v>398</v>
      </c>
      <c r="T460" s="536" t="s">
        <v>398</v>
      </c>
      <c r="U460" s="536" t="s">
        <v>398</v>
      </c>
      <c r="V460" s="536" t="s">
        <v>398</v>
      </c>
    </row>
    <row r="461" spans="2:22" outlineLevel="1">
      <c r="B461" s="729" t="s">
        <v>515</v>
      </c>
      <c r="C461" s="732" t="str">
        <f>IF('R6a - Net Debt input'!D308 = "","",'R6a - Net Debt input'!D308)</f>
        <v/>
      </c>
      <c r="D461" s="732" t="str">
        <f>IF('R6a - Net Debt input'!E308 = "","",'R6a - Net Debt input'!E308)</f>
        <v/>
      </c>
      <c r="E461" s="1057" t="str">
        <f>IF('R6a - Net Debt input'!F308 = "","",'R6a - Net Debt input'!F308)</f>
        <v/>
      </c>
      <c r="F461" s="1057"/>
      <c r="G461" s="1057"/>
      <c r="H461" s="1057"/>
      <c r="I461" s="1057"/>
      <c r="M461" s="779">
        <v>0</v>
      </c>
      <c r="N461" s="779">
        <v>0</v>
      </c>
      <c r="O461" s="779">
        <v>0</v>
      </c>
      <c r="P461" s="779">
        <v>0</v>
      </c>
      <c r="Q461" s="779">
        <v>0</v>
      </c>
      <c r="R461" s="779">
        <v>0</v>
      </c>
      <c r="S461" s="779">
        <v>0</v>
      </c>
      <c r="T461" s="779">
        <v>0</v>
      </c>
      <c r="U461" s="779">
        <v>0</v>
      </c>
      <c r="V461" s="779">
        <v>0</v>
      </c>
    </row>
    <row r="462" spans="2:22" outlineLevel="1">
      <c r="B462" s="729" t="s">
        <v>516</v>
      </c>
      <c r="C462" s="732" t="str">
        <f>IF('R6a - Net Debt input'!D309 = "","",'R6a - Net Debt input'!D309)</f>
        <v/>
      </c>
      <c r="D462" s="732" t="str">
        <f>IF('R6a - Net Debt input'!E309 = "","",'R6a - Net Debt input'!E309)</f>
        <v/>
      </c>
      <c r="E462" s="1051" t="str">
        <f>IF('R6a - Net Debt input'!F309 = "","",'R6a - Net Debt input'!F309)</f>
        <v/>
      </c>
      <c r="F462" s="1051"/>
      <c r="G462" s="1051"/>
      <c r="H462" s="1051"/>
      <c r="I462" s="1051"/>
      <c r="M462" s="779">
        <v>0</v>
      </c>
      <c r="N462" s="779">
        <v>0</v>
      </c>
      <c r="O462" s="779">
        <v>0</v>
      </c>
      <c r="P462" s="779">
        <v>0</v>
      </c>
      <c r="Q462" s="779">
        <v>0</v>
      </c>
      <c r="R462" s="779">
        <v>0</v>
      </c>
      <c r="S462" s="779">
        <v>0</v>
      </c>
      <c r="T462" s="779">
        <v>0</v>
      </c>
      <c r="U462" s="779">
        <v>0</v>
      </c>
      <c r="V462" s="779">
        <v>0</v>
      </c>
    </row>
    <row r="463" spans="2:22" outlineLevel="1">
      <c r="B463" s="729" t="s">
        <v>517</v>
      </c>
      <c r="C463" s="732" t="str">
        <f>IF('R6a - Net Debt input'!D310 = "","",'R6a - Net Debt input'!D310)</f>
        <v/>
      </c>
      <c r="D463" s="732" t="str">
        <f>IF('R6a - Net Debt input'!E310 = "","",'R6a - Net Debt input'!E310)</f>
        <v/>
      </c>
      <c r="E463" s="1051" t="str">
        <f>IF('R6a - Net Debt input'!F310 = "","",'R6a - Net Debt input'!F310)</f>
        <v/>
      </c>
      <c r="F463" s="1051"/>
      <c r="G463" s="1051"/>
      <c r="H463" s="1051"/>
      <c r="I463" s="1051"/>
      <c r="M463" s="779">
        <v>0</v>
      </c>
      <c r="N463" s="779">
        <v>0</v>
      </c>
      <c r="O463" s="779">
        <v>0</v>
      </c>
      <c r="P463" s="779">
        <v>0</v>
      </c>
      <c r="Q463" s="779">
        <v>0</v>
      </c>
      <c r="R463" s="779">
        <v>0</v>
      </c>
      <c r="S463" s="779">
        <v>0</v>
      </c>
      <c r="T463" s="779">
        <v>0</v>
      </c>
      <c r="U463" s="779">
        <v>0</v>
      </c>
      <c r="V463" s="779">
        <v>0</v>
      </c>
    </row>
    <row r="464" spans="2:22" outlineLevel="1">
      <c r="B464" s="729" t="s">
        <v>518</v>
      </c>
      <c r="C464" s="732" t="str">
        <f>IF('R6a - Net Debt input'!D311 = "","",'R6a - Net Debt input'!D311)</f>
        <v/>
      </c>
      <c r="D464" s="732" t="str">
        <f>IF('R6a - Net Debt input'!E311 = "","",'R6a - Net Debt input'!E311)</f>
        <v/>
      </c>
      <c r="E464" s="1051" t="str">
        <f>IF('R6a - Net Debt input'!F311 = "","",'R6a - Net Debt input'!F311)</f>
        <v/>
      </c>
      <c r="F464" s="1051"/>
      <c r="G464" s="1051"/>
      <c r="H464" s="1051"/>
      <c r="I464" s="1051"/>
      <c r="M464" s="779">
        <v>0</v>
      </c>
      <c r="N464" s="779">
        <v>0</v>
      </c>
      <c r="O464" s="779">
        <v>0</v>
      </c>
      <c r="P464" s="779">
        <v>0</v>
      </c>
      <c r="Q464" s="779">
        <v>0</v>
      </c>
      <c r="R464" s="779">
        <v>0</v>
      </c>
      <c r="S464" s="779">
        <v>0</v>
      </c>
      <c r="T464" s="779">
        <v>0</v>
      </c>
      <c r="U464" s="779">
        <v>0</v>
      </c>
      <c r="V464" s="779">
        <v>0</v>
      </c>
    </row>
    <row r="465" spans="2:22" outlineLevel="1">
      <c r="B465" s="729" t="s">
        <v>519</v>
      </c>
      <c r="C465" s="1056" t="s">
        <v>479</v>
      </c>
      <c r="D465" s="1056"/>
      <c r="E465" s="1056"/>
      <c r="F465" s="1056"/>
      <c r="G465" s="1056"/>
      <c r="H465" s="1056"/>
      <c r="I465" s="1056"/>
      <c r="M465" s="779">
        <v>0</v>
      </c>
      <c r="N465" s="779">
        <v>0</v>
      </c>
      <c r="O465" s="779">
        <v>0</v>
      </c>
      <c r="P465" s="779">
        <v>0</v>
      </c>
      <c r="Q465" s="779">
        <v>0</v>
      </c>
      <c r="R465" s="779">
        <v>0</v>
      </c>
      <c r="S465" s="779">
        <v>0</v>
      </c>
      <c r="T465" s="779">
        <v>0</v>
      </c>
      <c r="U465" s="779">
        <v>0</v>
      </c>
      <c r="V465" s="779">
        <v>0</v>
      </c>
    </row>
    <row r="466" spans="2:22">
      <c r="B466" s="117"/>
      <c r="E466" s="117"/>
      <c r="F466" s="117"/>
      <c r="G466" s="117"/>
      <c r="H466" s="117"/>
      <c r="L466" s="537" t="s">
        <v>520</v>
      </c>
      <c r="M466" s="780">
        <f t="shared" ref="M466:V466" si="73">SUM(M461:M465)</f>
        <v>0</v>
      </c>
      <c r="N466" s="780">
        <f t="shared" si="73"/>
        <v>0</v>
      </c>
      <c r="O466" s="780">
        <f t="shared" si="73"/>
        <v>0</v>
      </c>
      <c r="P466" s="780">
        <f t="shared" si="73"/>
        <v>0</v>
      </c>
      <c r="Q466" s="780">
        <f t="shared" si="73"/>
        <v>0</v>
      </c>
      <c r="R466" s="780">
        <f t="shared" si="73"/>
        <v>0</v>
      </c>
      <c r="S466" s="780">
        <f t="shared" si="73"/>
        <v>0</v>
      </c>
      <c r="T466" s="780">
        <f t="shared" si="73"/>
        <v>0</v>
      </c>
      <c r="U466" s="780">
        <f t="shared" si="73"/>
        <v>0</v>
      </c>
      <c r="V466" s="780">
        <f t="shared" si="73"/>
        <v>0</v>
      </c>
    </row>
    <row r="467" spans="2:22">
      <c r="B467" s="117"/>
    </row>
    <row r="468" spans="2:22" ht="17.5" outlineLevel="1">
      <c r="C468" s="98"/>
      <c r="D468" s="166" t="s">
        <v>403</v>
      </c>
      <c r="E468" s="167"/>
      <c r="F468" s="167"/>
      <c r="G468" s="167"/>
      <c r="H468" s="167"/>
      <c r="I468" s="167"/>
      <c r="J468" s="167"/>
      <c r="K468" s="167"/>
      <c r="L468" s="193"/>
      <c r="M468" s="167"/>
      <c r="N468" s="167"/>
      <c r="O468" s="167"/>
      <c r="P468" s="167"/>
      <c r="Q468" s="167"/>
      <c r="R468" s="167"/>
      <c r="S468" s="167"/>
      <c r="T468" s="167"/>
      <c r="U468" s="180"/>
      <c r="V468" s="167"/>
    </row>
    <row r="469" spans="2:22">
      <c r="B469" s="201"/>
      <c r="C469" s="98"/>
      <c r="D469" s="98"/>
      <c r="U469" s="179"/>
    </row>
    <row r="470" spans="2:22" ht="25.5" customHeight="1" outlineLevel="1">
      <c r="B470" s="731"/>
      <c r="C470" s="536" t="s">
        <v>469</v>
      </c>
      <c r="D470" s="536" t="s">
        <v>470</v>
      </c>
      <c r="E470" s="1058" t="s">
        <v>471</v>
      </c>
      <c r="F470" s="1058"/>
      <c r="G470" s="1058"/>
      <c r="H470" s="1058"/>
      <c r="I470" s="1058"/>
      <c r="U470" s="179"/>
    </row>
    <row r="471" spans="2:22" ht="12.75" customHeight="1" outlineLevel="1">
      <c r="B471" s="729" t="s">
        <v>397</v>
      </c>
      <c r="C471" s="536" t="s">
        <v>472</v>
      </c>
      <c r="D471" s="536" t="s">
        <v>472</v>
      </c>
      <c r="E471" s="1058"/>
      <c r="F471" s="1058"/>
      <c r="G471" s="1058"/>
      <c r="H471" s="1058"/>
      <c r="I471" s="1058"/>
      <c r="M471" s="536" t="s">
        <v>398</v>
      </c>
      <c r="N471" s="536" t="s">
        <v>398</v>
      </c>
      <c r="O471" s="536" t="s">
        <v>398</v>
      </c>
      <c r="P471" s="536" t="s">
        <v>398</v>
      </c>
      <c r="Q471" s="536" t="s">
        <v>398</v>
      </c>
      <c r="R471" s="536" t="s">
        <v>398</v>
      </c>
      <c r="S471" s="536" t="s">
        <v>398</v>
      </c>
      <c r="T471" s="536" t="s">
        <v>398</v>
      </c>
      <c r="U471" s="536" t="s">
        <v>398</v>
      </c>
      <c r="V471" s="536" t="s">
        <v>398</v>
      </c>
    </row>
    <row r="472" spans="2:22" outlineLevel="1">
      <c r="B472" s="729" t="s">
        <v>515</v>
      </c>
      <c r="C472" s="732" t="str">
        <f>IF('R6a - Net Debt input'!D308 = "","",'R6a - Net Debt input'!D308)</f>
        <v/>
      </c>
      <c r="D472" s="732" t="str">
        <f>IF('R6a - Net Debt input'!E308 = "","",'R6a - Net Debt input'!E308)</f>
        <v/>
      </c>
      <c r="E472" s="1057" t="str">
        <f>IF('R6a - Net Debt input'!F308 = "","",'R6a - Net Debt input'!F308)</f>
        <v/>
      </c>
      <c r="F472" s="1057" t="str">
        <f>IF('R6a - Net Debt input'!G308 = "","",'R6a - Net Debt input'!G308)</f>
        <v/>
      </c>
      <c r="G472" s="1057" t="str">
        <f>IF('R6a - Net Debt input'!H308 = "","",'R6a - Net Debt input'!H308)</f>
        <v/>
      </c>
      <c r="H472" s="1057" t="str">
        <f>IF('R6a - Net Debt input'!I308 = "","",'R6a - Net Debt input'!I308)</f>
        <v/>
      </c>
      <c r="I472" s="1057" t="str">
        <f>IF('R6a - Net Debt input'!J308 = "","",'R6a - Net Debt input'!J308)</f>
        <v/>
      </c>
      <c r="M472" s="779">
        <v>0</v>
      </c>
      <c r="N472" s="779">
        <v>0</v>
      </c>
      <c r="O472" s="779">
        <v>0</v>
      </c>
      <c r="P472" s="779">
        <v>0</v>
      </c>
      <c r="Q472" s="779">
        <v>0</v>
      </c>
      <c r="R472" s="779">
        <v>0</v>
      </c>
      <c r="S472" s="779">
        <v>0</v>
      </c>
      <c r="T472" s="779">
        <v>0</v>
      </c>
      <c r="U472" s="779">
        <v>0</v>
      </c>
      <c r="V472" s="779">
        <v>0</v>
      </c>
    </row>
    <row r="473" spans="2:22" outlineLevel="1">
      <c r="B473" s="729" t="s">
        <v>516</v>
      </c>
      <c r="C473" s="732" t="str">
        <f>IF('R6a - Net Debt input'!D309 = "","",'R6a - Net Debt input'!D309)</f>
        <v/>
      </c>
      <c r="D473" s="732" t="str">
        <f>IF('R6a - Net Debt input'!E309 = "","",'R6a - Net Debt input'!E309)</f>
        <v/>
      </c>
      <c r="E473" s="1051" t="str">
        <f>IF('R6a - Net Debt input'!F309 = "","",'R6a - Net Debt input'!F309)</f>
        <v/>
      </c>
      <c r="F473" s="1051" t="str">
        <f>IF('R6a - Net Debt input'!G309 = "","",'R6a - Net Debt input'!G309)</f>
        <v/>
      </c>
      <c r="G473" s="1051" t="str">
        <f>IF('R6a - Net Debt input'!H309 = "","",'R6a - Net Debt input'!H309)</f>
        <v/>
      </c>
      <c r="H473" s="1051" t="str">
        <f>IF('R6a - Net Debt input'!I309 = "","",'R6a - Net Debt input'!I309)</f>
        <v/>
      </c>
      <c r="I473" s="1051" t="str">
        <f>IF('R6a - Net Debt input'!J309 = "","",'R6a - Net Debt input'!J309)</f>
        <v/>
      </c>
      <c r="M473" s="779">
        <v>0</v>
      </c>
      <c r="N473" s="779">
        <v>0</v>
      </c>
      <c r="O473" s="779">
        <v>0</v>
      </c>
      <c r="P473" s="779">
        <v>0</v>
      </c>
      <c r="Q473" s="779">
        <v>0</v>
      </c>
      <c r="R473" s="779">
        <v>0</v>
      </c>
      <c r="S473" s="779">
        <v>0</v>
      </c>
      <c r="T473" s="779">
        <v>0</v>
      </c>
      <c r="U473" s="779">
        <v>0</v>
      </c>
      <c r="V473" s="779">
        <v>0</v>
      </c>
    </row>
    <row r="474" spans="2:22" outlineLevel="1">
      <c r="B474" s="729" t="s">
        <v>517</v>
      </c>
      <c r="C474" s="732" t="str">
        <f>IF('R6a - Net Debt input'!D310 = "","",'R6a - Net Debt input'!D310)</f>
        <v/>
      </c>
      <c r="D474" s="732" t="str">
        <f>IF('R6a - Net Debt input'!E310 = "","",'R6a - Net Debt input'!E310)</f>
        <v/>
      </c>
      <c r="E474" s="1051" t="str">
        <f>IF('R6a - Net Debt input'!F310 = "","",'R6a - Net Debt input'!F310)</f>
        <v/>
      </c>
      <c r="F474" s="1051" t="str">
        <f>IF('R6a - Net Debt input'!G310 = "","",'R6a - Net Debt input'!G310)</f>
        <v/>
      </c>
      <c r="G474" s="1051" t="str">
        <f>IF('R6a - Net Debt input'!H310 = "","",'R6a - Net Debt input'!H310)</f>
        <v/>
      </c>
      <c r="H474" s="1051" t="str">
        <f>IF('R6a - Net Debt input'!I310 = "","",'R6a - Net Debt input'!I310)</f>
        <v/>
      </c>
      <c r="I474" s="1051" t="str">
        <f>IF('R6a - Net Debt input'!J310 = "","",'R6a - Net Debt input'!J310)</f>
        <v/>
      </c>
      <c r="M474" s="779">
        <v>0</v>
      </c>
      <c r="N474" s="779">
        <v>0</v>
      </c>
      <c r="O474" s="779">
        <v>0</v>
      </c>
      <c r="P474" s="779">
        <v>0</v>
      </c>
      <c r="Q474" s="779">
        <v>0</v>
      </c>
      <c r="R474" s="779">
        <v>0</v>
      </c>
      <c r="S474" s="779">
        <v>0</v>
      </c>
      <c r="T474" s="779">
        <v>0</v>
      </c>
      <c r="U474" s="779">
        <v>0</v>
      </c>
      <c r="V474" s="779">
        <v>0</v>
      </c>
    </row>
    <row r="475" spans="2:22" outlineLevel="1">
      <c r="B475" s="729" t="s">
        <v>518</v>
      </c>
      <c r="C475" s="732" t="str">
        <f>IF('R6a - Net Debt input'!D311 = "","",'R6a - Net Debt input'!D311)</f>
        <v/>
      </c>
      <c r="D475" s="732" t="str">
        <f>IF('R6a - Net Debt input'!E311 = "","",'R6a - Net Debt input'!E311)</f>
        <v/>
      </c>
      <c r="E475" s="1051" t="str">
        <f>IF('R6a - Net Debt input'!F311 = "","",'R6a - Net Debt input'!F311)</f>
        <v/>
      </c>
      <c r="F475" s="1051" t="str">
        <f>IF('R6a - Net Debt input'!G311 = "","",'R6a - Net Debt input'!G311)</f>
        <v/>
      </c>
      <c r="G475" s="1051" t="str">
        <f>IF('R6a - Net Debt input'!H311 = "","",'R6a - Net Debt input'!H311)</f>
        <v/>
      </c>
      <c r="H475" s="1051" t="str">
        <f>IF('R6a - Net Debt input'!I311 = "","",'R6a - Net Debt input'!I311)</f>
        <v/>
      </c>
      <c r="I475" s="1051" t="str">
        <f>IF('R6a - Net Debt input'!J311 = "","",'R6a - Net Debt input'!J311)</f>
        <v/>
      </c>
      <c r="M475" s="779">
        <v>0</v>
      </c>
      <c r="N475" s="779">
        <v>0</v>
      </c>
      <c r="O475" s="779">
        <v>0</v>
      </c>
      <c r="P475" s="779">
        <v>0</v>
      </c>
      <c r="Q475" s="779">
        <v>0</v>
      </c>
      <c r="R475" s="779">
        <v>0</v>
      </c>
      <c r="S475" s="779">
        <v>0</v>
      </c>
      <c r="T475" s="779">
        <v>0</v>
      </c>
      <c r="U475" s="779">
        <v>0</v>
      </c>
      <c r="V475" s="779">
        <v>0</v>
      </c>
    </row>
    <row r="476" spans="2:22" outlineLevel="1">
      <c r="B476" s="729" t="s">
        <v>519</v>
      </c>
      <c r="C476" s="1056" t="s">
        <v>479</v>
      </c>
      <c r="D476" s="1056"/>
      <c r="E476" s="1056"/>
      <c r="F476" s="1056"/>
      <c r="G476" s="1056"/>
      <c r="H476" s="1056"/>
      <c r="I476" s="1056"/>
      <c r="M476" s="779">
        <v>0</v>
      </c>
      <c r="N476" s="779">
        <v>0</v>
      </c>
      <c r="O476" s="779">
        <v>0</v>
      </c>
      <c r="P476" s="779">
        <v>0</v>
      </c>
      <c r="Q476" s="779">
        <v>0</v>
      </c>
      <c r="R476" s="779">
        <v>0</v>
      </c>
      <c r="S476" s="779">
        <v>0</v>
      </c>
      <c r="T476" s="779">
        <v>0</v>
      </c>
      <c r="U476" s="779">
        <v>0</v>
      </c>
      <c r="V476" s="779">
        <v>0</v>
      </c>
    </row>
    <row r="477" spans="2:22">
      <c r="B477" s="117"/>
      <c r="E477" s="117"/>
      <c r="F477" s="117"/>
      <c r="G477" s="117"/>
      <c r="H477" s="117"/>
      <c r="L477" s="537" t="s">
        <v>520</v>
      </c>
      <c r="M477" s="780">
        <f t="shared" ref="M477:V477" si="74">SUM(M472:M476)</f>
        <v>0</v>
      </c>
      <c r="N477" s="780">
        <f t="shared" si="74"/>
        <v>0</v>
      </c>
      <c r="O477" s="780">
        <f t="shared" si="74"/>
        <v>0</v>
      </c>
      <c r="P477" s="780">
        <f t="shared" si="74"/>
        <v>0</v>
      </c>
      <c r="Q477" s="780">
        <f t="shared" si="74"/>
        <v>0</v>
      </c>
      <c r="R477" s="780">
        <f t="shared" si="74"/>
        <v>0</v>
      </c>
      <c r="S477" s="780">
        <f t="shared" si="74"/>
        <v>0</v>
      </c>
      <c r="T477" s="780">
        <f t="shared" si="74"/>
        <v>0</v>
      </c>
      <c r="U477" s="780">
        <f t="shared" si="74"/>
        <v>0</v>
      </c>
      <c r="V477" s="780">
        <f t="shared" si="74"/>
        <v>0</v>
      </c>
    </row>
    <row r="478" spans="2:22">
      <c r="B478" s="117"/>
      <c r="U478" s="179"/>
    </row>
    <row r="479" spans="2:22" ht="14">
      <c r="B479" s="156" t="s">
        <v>521</v>
      </c>
      <c r="C479" s="157" t="s">
        <v>522</v>
      </c>
      <c r="D479" s="157"/>
      <c r="E479" s="157"/>
      <c r="F479" s="157"/>
      <c r="G479" s="158"/>
      <c r="H479" s="158"/>
      <c r="I479" s="158"/>
      <c r="J479" s="158"/>
      <c r="K479" s="158"/>
      <c r="L479" s="156"/>
      <c r="M479" s="157"/>
      <c r="N479" s="157"/>
      <c r="O479" s="157"/>
      <c r="P479" s="157"/>
      <c r="Q479" s="157"/>
      <c r="R479" s="157"/>
      <c r="S479" s="157"/>
      <c r="T479" s="157"/>
      <c r="U479" s="183"/>
      <c r="V479" s="157"/>
    </row>
    <row r="481" spans="2:22" ht="17.5" outlineLevel="1">
      <c r="B481" s="101"/>
      <c r="C481" s="98"/>
      <c r="D481" s="166" t="s">
        <v>396</v>
      </c>
      <c r="E481" s="168"/>
      <c r="F481" s="168"/>
      <c r="G481" s="167"/>
      <c r="H481" s="167"/>
      <c r="I481" s="167"/>
      <c r="J481" s="167"/>
      <c r="K481" s="167"/>
      <c r="L481" s="193"/>
      <c r="M481" s="168"/>
      <c r="N481" s="168"/>
      <c r="O481" s="168"/>
      <c r="P481" s="168"/>
      <c r="Q481" s="168"/>
      <c r="R481" s="168"/>
      <c r="S481" s="168"/>
      <c r="T481" s="168"/>
      <c r="U481" s="185"/>
      <c r="V481" s="168"/>
    </row>
    <row r="483" spans="2:22" outlineLevel="1">
      <c r="B483" s="731" t="s">
        <v>397</v>
      </c>
      <c r="C483" s="1063" t="s">
        <v>445</v>
      </c>
      <c r="D483" s="1064"/>
      <c r="E483" s="1064"/>
      <c r="F483" s="1064"/>
      <c r="G483" s="1064"/>
      <c r="H483" s="1064"/>
      <c r="I483" s="1065"/>
      <c r="M483" s="536" t="s">
        <v>398</v>
      </c>
      <c r="N483" s="536" t="s">
        <v>398</v>
      </c>
      <c r="O483" s="536" t="s">
        <v>398</v>
      </c>
      <c r="P483" s="536" t="s">
        <v>398</v>
      </c>
      <c r="Q483" s="536" t="s">
        <v>398</v>
      </c>
      <c r="R483" s="536" t="s">
        <v>398</v>
      </c>
      <c r="S483" s="536" t="s">
        <v>398</v>
      </c>
      <c r="T483" s="536" t="s">
        <v>398</v>
      </c>
      <c r="U483" s="536" t="s">
        <v>398</v>
      </c>
      <c r="V483" s="536" t="s">
        <v>398</v>
      </c>
    </row>
    <row r="484" spans="2:22" outlineLevel="1">
      <c r="B484" s="775" t="s">
        <v>523</v>
      </c>
      <c r="C484" s="1051" t="str">
        <f>IF('R6a - Net Debt input'!D324 = "","",'R6a - Net Debt input'!D324)</f>
        <v>Net Cross Currency Swaps</v>
      </c>
      <c r="D484" s="1052"/>
      <c r="E484" s="1052"/>
      <c r="F484" s="1052"/>
      <c r="G484" s="1052"/>
      <c r="H484" s="1052"/>
      <c r="I484" s="1052"/>
      <c r="M484" s="779">
        <v>0</v>
      </c>
      <c r="N484" s="779">
        <v>0</v>
      </c>
      <c r="O484" s="779">
        <v>0</v>
      </c>
      <c r="P484" s="779">
        <v>0</v>
      </c>
      <c r="Q484" s="779">
        <v>0</v>
      </c>
      <c r="R484" s="779">
        <v>0</v>
      </c>
      <c r="S484" s="779">
        <v>0</v>
      </c>
      <c r="T484" s="779">
        <v>0</v>
      </c>
      <c r="U484" s="779">
        <v>0</v>
      </c>
      <c r="V484" s="779">
        <v>0</v>
      </c>
    </row>
    <row r="485" spans="2:22" outlineLevel="1">
      <c r="B485" s="775" t="s">
        <v>524</v>
      </c>
      <c r="C485" s="1051" t="str">
        <f>IF('R6a - Net Debt input'!D325 = "","",'R6a - Net Debt input'!D325)</f>
        <v>Net Interest and Inflation Rate Swaps</v>
      </c>
      <c r="D485" s="1052"/>
      <c r="E485" s="1052"/>
      <c r="F485" s="1052"/>
      <c r="G485" s="1052"/>
      <c r="H485" s="1052"/>
      <c r="I485" s="1052"/>
      <c r="M485" s="779">
        <v>0</v>
      </c>
      <c r="N485" s="779">
        <v>0</v>
      </c>
      <c r="O485" s="779">
        <v>0</v>
      </c>
      <c r="P485" s="779">
        <v>0</v>
      </c>
      <c r="Q485" s="779">
        <v>0</v>
      </c>
      <c r="R485" s="779">
        <v>0</v>
      </c>
      <c r="S485" s="779">
        <v>0</v>
      </c>
      <c r="T485" s="779">
        <v>0</v>
      </c>
      <c r="U485" s="779">
        <v>0</v>
      </c>
      <c r="V485" s="779">
        <v>0</v>
      </c>
    </row>
    <row r="486" spans="2:22" outlineLevel="1">
      <c r="B486" s="775" t="s">
        <v>525</v>
      </c>
      <c r="C486" s="1051" t="str">
        <f>IF('R6a - Net Debt input'!D326 = "","",'R6a - Net Debt input'!D326)</f>
        <v>Overdraft</v>
      </c>
      <c r="D486" s="1052"/>
      <c r="E486" s="1052"/>
      <c r="F486" s="1052"/>
      <c r="G486" s="1052"/>
      <c r="H486" s="1052"/>
      <c r="I486" s="1052"/>
      <c r="M486" s="779">
        <v>0.3</v>
      </c>
      <c r="N486" s="779">
        <v>0.3</v>
      </c>
      <c r="O486" s="779">
        <v>0.3</v>
      </c>
      <c r="P486" s="779">
        <v>0.3</v>
      </c>
      <c r="Q486" s="779">
        <v>0.3</v>
      </c>
      <c r="R486" s="779">
        <v>0.3</v>
      </c>
      <c r="S486" s="779">
        <v>0.3</v>
      </c>
      <c r="T486" s="779">
        <v>0.3</v>
      </c>
      <c r="U486" s="779">
        <v>0.3</v>
      </c>
      <c r="V486" s="779">
        <v>0.3</v>
      </c>
    </row>
    <row r="487" spans="2:22" outlineLevel="1">
      <c r="B487" s="775" t="s">
        <v>526</v>
      </c>
      <c r="C487" s="1051" t="str">
        <f>IF('R6a - Net Debt input'!D327 = "","",'R6a - Net Debt input'!D327)</f>
        <v>Other borrowings</v>
      </c>
      <c r="D487" s="1052"/>
      <c r="E487" s="1052"/>
      <c r="F487" s="1052"/>
      <c r="G487" s="1052"/>
      <c r="H487" s="1052"/>
      <c r="I487" s="1052"/>
      <c r="M487" s="779">
        <v>-4.5999999999999996</v>
      </c>
      <c r="N487" s="779">
        <v>2.8</v>
      </c>
      <c r="O487" s="779">
        <v>0.4</v>
      </c>
      <c r="P487" s="779">
        <v>0.2</v>
      </c>
      <c r="Q487" s="779">
        <v>0</v>
      </c>
      <c r="R487" s="779">
        <v>0</v>
      </c>
      <c r="S487" s="779">
        <v>0</v>
      </c>
      <c r="T487" s="779">
        <v>0</v>
      </c>
      <c r="U487" s="779">
        <v>0</v>
      </c>
      <c r="V487" s="779">
        <v>0</v>
      </c>
    </row>
    <row r="488" spans="2:22" outlineLevel="1">
      <c r="B488" s="775" t="s">
        <v>1049</v>
      </c>
      <c r="C488" s="1051" t="str">
        <f>IF('R6a - Net Debt input'!D328 = "","",'R6a - Net Debt input'!D328)</f>
        <v>Tax and Other</v>
      </c>
      <c r="D488" s="1052"/>
      <c r="E488" s="1052"/>
      <c r="F488" s="1052"/>
      <c r="G488" s="1052"/>
      <c r="H488" s="1052"/>
      <c r="I488" s="1052"/>
      <c r="M488" s="779">
        <v>0</v>
      </c>
      <c r="N488" s="779">
        <v>0</v>
      </c>
      <c r="O488" s="779">
        <v>0</v>
      </c>
      <c r="P488" s="779">
        <v>0</v>
      </c>
      <c r="Q488" s="779">
        <v>0</v>
      </c>
      <c r="R488" s="779">
        <v>0</v>
      </c>
      <c r="S488" s="779">
        <v>0</v>
      </c>
      <c r="T488" s="779">
        <v>0</v>
      </c>
      <c r="U488" s="779">
        <v>0</v>
      </c>
      <c r="V488" s="779">
        <v>0</v>
      </c>
    </row>
    <row r="489" spans="2:22" outlineLevel="1">
      <c r="B489" s="775" t="s">
        <v>1050</v>
      </c>
      <c r="C489" s="1051" t="str">
        <f>IF('R6a - Net Debt input'!D329 = "","",'R6a - Net Debt input'!D329)</f>
        <v>Tax Income</v>
      </c>
      <c r="D489" s="1052"/>
      <c r="E489" s="1052"/>
      <c r="F489" s="1052"/>
      <c r="G489" s="1052"/>
      <c r="H489" s="1052"/>
      <c r="I489" s="1052"/>
      <c r="M489" s="779">
        <v>0</v>
      </c>
      <c r="N489" s="779">
        <v>0</v>
      </c>
      <c r="O489" s="779">
        <v>0</v>
      </c>
      <c r="P489" s="779">
        <v>0</v>
      </c>
      <c r="Q489" s="779">
        <v>0</v>
      </c>
      <c r="R489" s="779">
        <v>0</v>
      </c>
      <c r="S489" s="779">
        <v>0</v>
      </c>
      <c r="T489" s="779">
        <v>0</v>
      </c>
      <c r="U489" s="779">
        <v>0</v>
      </c>
      <c r="V489" s="779">
        <v>0</v>
      </c>
    </row>
    <row r="490" spans="2:22" outlineLevel="1">
      <c r="B490" s="775" t="s">
        <v>1051</v>
      </c>
      <c r="C490" s="1051" t="str">
        <f>IF('R6a - Net Debt input'!D330 = "","",'R6a - Net Debt input'!D330)</f>
        <v>Collateral Income</v>
      </c>
      <c r="D490" s="1052"/>
      <c r="E490" s="1052"/>
      <c r="F490" s="1052"/>
      <c r="G490" s="1052"/>
      <c r="H490" s="1052"/>
      <c r="I490" s="1052"/>
      <c r="M490" s="779">
        <v>0</v>
      </c>
      <c r="N490" s="779">
        <v>0</v>
      </c>
      <c r="O490" s="779">
        <v>0</v>
      </c>
      <c r="P490" s="779">
        <v>0</v>
      </c>
      <c r="Q490" s="779">
        <v>0</v>
      </c>
      <c r="R490" s="779">
        <v>0</v>
      </c>
      <c r="S490" s="779">
        <v>0</v>
      </c>
      <c r="T490" s="779">
        <v>0</v>
      </c>
      <c r="U490" s="779">
        <v>0</v>
      </c>
      <c r="V490" s="779">
        <v>0</v>
      </c>
    </row>
    <row r="491" spans="2:22" outlineLevel="1">
      <c r="B491" s="775" t="s">
        <v>1052</v>
      </c>
      <c r="C491" s="1051" t="str">
        <f>IF('R6a - Net Debt input'!D331 = "","",'R6a - Net Debt input'!D331)</f>
        <v>Collateral</v>
      </c>
      <c r="D491" s="1052"/>
      <c r="E491" s="1052"/>
      <c r="F491" s="1052"/>
      <c r="G491" s="1052"/>
      <c r="H491" s="1052"/>
      <c r="I491" s="1052"/>
      <c r="M491" s="779">
        <v>-1</v>
      </c>
      <c r="N491" s="779">
        <v>0</v>
      </c>
      <c r="O491" s="779">
        <v>0</v>
      </c>
      <c r="P491" s="779">
        <v>0</v>
      </c>
      <c r="Q491" s="779">
        <v>0</v>
      </c>
      <c r="R491" s="779">
        <v>0</v>
      </c>
      <c r="S491" s="779">
        <v>0</v>
      </c>
      <c r="T491" s="779">
        <v>0</v>
      </c>
      <c r="U491" s="779">
        <v>0</v>
      </c>
      <c r="V491" s="779">
        <v>0</v>
      </c>
    </row>
    <row r="492" spans="2:22" outlineLevel="1">
      <c r="B492" s="775" t="s">
        <v>1053</v>
      </c>
      <c r="C492" s="1051" t="str">
        <f>IF('R6a - Net Debt input'!D332 = "","",'R6a - Net Debt input'!D332)</f>
        <v>BG Tax Accrual</v>
      </c>
      <c r="D492" s="1052"/>
      <c r="E492" s="1052"/>
      <c r="F492" s="1052"/>
      <c r="G492" s="1052"/>
      <c r="H492" s="1052"/>
      <c r="I492" s="1052"/>
      <c r="M492" s="779">
        <v>0</v>
      </c>
      <c r="N492" s="779">
        <v>0</v>
      </c>
      <c r="O492" s="779">
        <v>0</v>
      </c>
      <c r="P492" s="779">
        <v>0</v>
      </c>
      <c r="Q492" s="779">
        <v>0</v>
      </c>
      <c r="R492" s="779">
        <v>0</v>
      </c>
      <c r="S492" s="779">
        <v>0</v>
      </c>
      <c r="T492" s="779">
        <v>0</v>
      </c>
      <c r="U492" s="779">
        <v>0</v>
      </c>
      <c r="V492" s="779">
        <v>0</v>
      </c>
    </row>
    <row r="493" spans="2:22" outlineLevel="1">
      <c r="B493" s="775" t="s">
        <v>1054</v>
      </c>
      <c r="C493" s="1051" t="str">
        <f>IF('R6a - Net Debt input'!D333 = "","",'R6a - Net Debt input'!D333)</f>
        <v>Facility Fees</v>
      </c>
      <c r="D493" s="1052"/>
      <c r="E493" s="1052"/>
      <c r="F493" s="1052"/>
      <c r="G493" s="1052"/>
      <c r="H493" s="1052"/>
      <c r="I493" s="1052"/>
      <c r="M493" s="779">
        <v>0.3</v>
      </c>
      <c r="N493" s="779">
        <v>0.3</v>
      </c>
      <c r="O493" s="779">
        <v>0.3</v>
      </c>
      <c r="P493" s="779">
        <v>0.3</v>
      </c>
      <c r="Q493" s="779">
        <v>0.3</v>
      </c>
      <c r="R493" s="779">
        <v>0.3</v>
      </c>
      <c r="S493" s="779">
        <v>0.3</v>
      </c>
      <c r="T493" s="779">
        <v>0.3</v>
      </c>
      <c r="U493" s="779">
        <v>0.3</v>
      </c>
      <c r="V493" s="779">
        <v>0.3</v>
      </c>
    </row>
    <row r="494" spans="2:22" outlineLevel="1">
      <c r="B494" s="775" t="s">
        <v>1055</v>
      </c>
      <c r="C494" s="1051" t="str">
        <f>IF('R6a - Net Debt input'!D334 = "","",'R6a - Net Debt input'!D334)</f>
        <v>Rounding</v>
      </c>
      <c r="D494" s="1052"/>
      <c r="E494" s="1052"/>
      <c r="F494" s="1052"/>
      <c r="G494" s="1052"/>
      <c r="H494" s="1052"/>
      <c r="I494" s="1052"/>
      <c r="M494" s="779">
        <v>0</v>
      </c>
      <c r="N494" s="779">
        <v>0</v>
      </c>
      <c r="O494" s="779">
        <v>0</v>
      </c>
      <c r="P494" s="779">
        <v>0</v>
      </c>
      <c r="Q494" s="779">
        <v>0</v>
      </c>
      <c r="R494" s="779">
        <v>0</v>
      </c>
      <c r="S494" s="779">
        <v>0</v>
      </c>
      <c r="T494" s="779">
        <v>0</v>
      </c>
      <c r="U494" s="779">
        <v>0</v>
      </c>
      <c r="V494" s="779">
        <v>0</v>
      </c>
    </row>
    <row r="495" spans="2:22" outlineLevel="1">
      <c r="B495" s="775" t="s">
        <v>1056</v>
      </c>
      <c r="C495" s="1051" t="str">
        <f>IF('R6a - Net Debt input'!D335 = "","",'R6a - Net Debt input'!D335)</f>
        <v>Swap termination</v>
      </c>
      <c r="D495" s="1052"/>
      <c r="E495" s="1052"/>
      <c r="F495" s="1052"/>
      <c r="G495" s="1052"/>
      <c r="H495" s="1052"/>
      <c r="I495" s="1052"/>
      <c r="M495" s="779">
        <v>-2</v>
      </c>
      <c r="N495" s="779">
        <v>-1.481240269687629</v>
      </c>
      <c r="O495" s="779">
        <v>-1.48529846220732</v>
      </c>
      <c r="P495" s="779">
        <v>-1.3915518439053887</v>
      </c>
      <c r="Q495" s="779">
        <v>-1.0610712504061937</v>
      </c>
      <c r="R495" s="779">
        <v>-1.0266353039721248</v>
      </c>
      <c r="S495" s="779">
        <v>-0.92093740435672067</v>
      </c>
      <c r="T495" s="779">
        <v>-1.2586810670994051</v>
      </c>
      <c r="U495" s="779">
        <v>-1.4953747300580655</v>
      </c>
      <c r="V495" s="779">
        <v>-1.8502070310484371</v>
      </c>
    </row>
    <row r="496" spans="2:22" outlineLevel="1">
      <c r="B496" s="775" t="s">
        <v>1057</v>
      </c>
      <c r="C496" s="1051" t="str">
        <f>IF('R6a - Net Debt input'!D336 = "","",'R6a - Net Debt input'!D336)</f>
        <v>Commercial business</v>
      </c>
      <c r="D496" s="1052"/>
      <c r="E496" s="1052"/>
      <c r="F496" s="1052"/>
      <c r="G496" s="1052"/>
      <c r="H496" s="1052"/>
      <c r="I496" s="1052"/>
      <c r="M496" s="779">
        <v>0</v>
      </c>
      <c r="N496" s="779">
        <v>0</v>
      </c>
      <c r="O496" s="779">
        <v>0</v>
      </c>
      <c r="P496" s="779">
        <v>0</v>
      </c>
      <c r="Q496" s="779">
        <v>0</v>
      </c>
      <c r="R496" s="779">
        <v>0</v>
      </c>
      <c r="S496" s="779">
        <v>0</v>
      </c>
      <c r="T496" s="779">
        <v>0</v>
      </c>
      <c r="U496" s="779">
        <v>0</v>
      </c>
      <c r="V496" s="779">
        <v>0</v>
      </c>
    </row>
    <row r="497" spans="2:22" outlineLevel="1">
      <c r="B497" s="800" t="s">
        <v>527</v>
      </c>
      <c r="C497" s="1053" t="s">
        <v>479</v>
      </c>
      <c r="D497" s="1054"/>
      <c r="E497" s="1054"/>
      <c r="F497" s="1054"/>
      <c r="G497" s="1054"/>
      <c r="H497" s="1054"/>
      <c r="I497" s="1055"/>
      <c r="M497" s="779">
        <v>0</v>
      </c>
      <c r="N497" s="779">
        <v>0</v>
      </c>
      <c r="O497" s="779">
        <v>0</v>
      </c>
      <c r="P497" s="779">
        <v>0</v>
      </c>
      <c r="Q497" s="779">
        <v>0</v>
      </c>
      <c r="R497" s="779">
        <v>0</v>
      </c>
      <c r="S497" s="779">
        <v>0</v>
      </c>
      <c r="T497" s="779">
        <v>0</v>
      </c>
      <c r="U497" s="779">
        <v>0</v>
      </c>
      <c r="V497" s="779">
        <v>0</v>
      </c>
    </row>
    <row r="498" spans="2:22">
      <c r="B498" s="117"/>
      <c r="E498" s="117"/>
      <c r="F498" s="117"/>
      <c r="G498" s="117"/>
      <c r="H498" s="117"/>
      <c r="L498" s="537" t="s">
        <v>528</v>
      </c>
      <c r="M498" s="780">
        <f t="shared" ref="M498:V498" si="75">SUM(M484:M497)</f>
        <v>-7</v>
      </c>
      <c r="N498" s="780">
        <f t="shared" si="75"/>
        <v>1.9187597303123705</v>
      </c>
      <c r="O498" s="780">
        <f t="shared" si="75"/>
        <v>-0.48529846220731998</v>
      </c>
      <c r="P498" s="780">
        <f t="shared" si="75"/>
        <v>-0.59155184390538862</v>
      </c>
      <c r="Q498" s="780">
        <f t="shared" si="75"/>
        <v>-0.46107125040619368</v>
      </c>
      <c r="R498" s="780">
        <f t="shared" si="75"/>
        <v>-0.42663530397212479</v>
      </c>
      <c r="S498" s="780">
        <f t="shared" si="75"/>
        <v>-0.32093740435672069</v>
      </c>
      <c r="T498" s="780">
        <f t="shared" si="75"/>
        <v>-0.6586810670994051</v>
      </c>
      <c r="U498" s="780">
        <f t="shared" si="75"/>
        <v>-0.89537473005806556</v>
      </c>
      <c r="V498" s="780">
        <f t="shared" si="75"/>
        <v>-1.2502070310484372</v>
      </c>
    </row>
    <row r="501" spans="2:22" ht="17.5" outlineLevel="1">
      <c r="C501" s="98"/>
      <c r="D501" s="166" t="s">
        <v>403</v>
      </c>
      <c r="E501" s="167"/>
      <c r="F501" s="167"/>
      <c r="G501" s="167"/>
      <c r="H501" s="167"/>
      <c r="I501" s="167"/>
      <c r="J501" s="167"/>
      <c r="K501" s="167"/>
      <c r="L501" s="193"/>
      <c r="M501" s="167"/>
      <c r="N501" s="167"/>
      <c r="O501" s="167"/>
      <c r="P501" s="167"/>
      <c r="Q501" s="167"/>
      <c r="R501" s="167"/>
      <c r="S501" s="167"/>
      <c r="T501" s="167"/>
      <c r="U501" s="180"/>
      <c r="V501" s="167"/>
    </row>
    <row r="503" spans="2:22" outlineLevel="1">
      <c r="B503" s="731" t="s">
        <v>397</v>
      </c>
      <c r="C503" s="1063" t="s">
        <v>445</v>
      </c>
      <c r="D503" s="1064"/>
      <c r="E503" s="1064"/>
      <c r="F503" s="1064"/>
      <c r="G503" s="1064"/>
      <c r="H503" s="1064"/>
      <c r="I503" s="1065"/>
      <c r="M503" s="536" t="s">
        <v>398</v>
      </c>
      <c r="N503" s="536" t="s">
        <v>398</v>
      </c>
      <c r="O503" s="536" t="s">
        <v>398</v>
      </c>
      <c r="P503" s="536" t="s">
        <v>398</v>
      </c>
      <c r="Q503" s="536" t="s">
        <v>398</v>
      </c>
      <c r="R503" s="536" t="s">
        <v>398</v>
      </c>
      <c r="S503" s="536" t="s">
        <v>398</v>
      </c>
      <c r="T503" s="536" t="s">
        <v>398</v>
      </c>
      <c r="U503" s="536" t="s">
        <v>398</v>
      </c>
      <c r="V503" s="536" t="s">
        <v>398</v>
      </c>
    </row>
    <row r="504" spans="2:22" outlineLevel="1">
      <c r="B504" s="775" t="s">
        <v>523</v>
      </c>
      <c r="C504" s="1051" t="str">
        <f>IF('R6a - Net Debt input'!D324 = "","",'R6a - Net Debt input'!D324)</f>
        <v>Net Cross Currency Swaps</v>
      </c>
      <c r="D504" s="1052" t="str">
        <f>IF('R6a - Net Debt input'!E317 = "","",'R6a - Net Debt input'!E317)</f>
        <v/>
      </c>
      <c r="E504" s="1052"/>
      <c r="F504" s="1052" t="str">
        <f>IF('R6a - Net Debt input'!G317 = "","",'R6a - Net Debt input'!G317)</f>
        <v/>
      </c>
      <c r="G504" s="1052" t="str">
        <f>IF('R6a - Net Debt input'!H317 = "","",'R6a - Net Debt input'!H317)</f>
        <v/>
      </c>
      <c r="H504" s="1052" t="str">
        <f>IF('R6a - Net Debt input'!I317 = "","",'R6a - Net Debt input'!I317)</f>
        <v/>
      </c>
      <c r="I504" s="1052" t="str">
        <f>IF('R6a - Net Debt input'!J317 = "","",'R6a - Net Debt input'!J317)</f>
        <v/>
      </c>
      <c r="M504" s="779">
        <v>0</v>
      </c>
      <c r="N504" s="779">
        <v>0</v>
      </c>
      <c r="O504" s="779">
        <v>0</v>
      </c>
      <c r="P504" s="779">
        <v>0</v>
      </c>
      <c r="Q504" s="779">
        <v>0</v>
      </c>
      <c r="R504" s="779">
        <v>0</v>
      </c>
      <c r="S504" s="779">
        <v>0</v>
      </c>
      <c r="T504" s="779">
        <v>0</v>
      </c>
      <c r="U504" s="779">
        <v>0</v>
      </c>
      <c r="V504" s="779">
        <v>0</v>
      </c>
    </row>
    <row r="505" spans="2:22" outlineLevel="1">
      <c r="B505" s="775" t="s">
        <v>524</v>
      </c>
      <c r="C505" s="1051" t="str">
        <f>IF('R6a - Net Debt input'!D325 = "","",'R6a - Net Debt input'!D325)</f>
        <v>Net Interest and Inflation Rate Swaps</v>
      </c>
      <c r="D505" s="1052" t="str">
        <f>IF('R6a - Net Debt input'!E318 = "","",'R6a - Net Debt input'!E318)</f>
        <v/>
      </c>
      <c r="E505" s="1052"/>
      <c r="F505" s="1052" t="str">
        <f>IF('R6a - Net Debt input'!G318 = "","",'R6a - Net Debt input'!G318)</f>
        <v/>
      </c>
      <c r="G505" s="1052" t="str">
        <f>IF('R6a - Net Debt input'!H318 = "","",'R6a - Net Debt input'!H318)</f>
        <v/>
      </c>
      <c r="H505" s="1052" t="str">
        <f>IF('R6a - Net Debt input'!I318 = "","",'R6a - Net Debt input'!I318)</f>
        <v/>
      </c>
      <c r="I505" s="1052" t="str">
        <f>IF('R6a - Net Debt input'!J318 = "","",'R6a - Net Debt input'!J318)</f>
        <v/>
      </c>
      <c r="M505" s="779">
        <v>0</v>
      </c>
      <c r="N505" s="779">
        <v>0</v>
      </c>
      <c r="O505" s="779">
        <v>0</v>
      </c>
      <c r="P505" s="779">
        <v>0</v>
      </c>
      <c r="Q505" s="779">
        <v>0</v>
      </c>
      <c r="R505" s="779">
        <v>0</v>
      </c>
      <c r="S505" s="779">
        <v>0</v>
      </c>
      <c r="T505" s="779">
        <v>0</v>
      </c>
      <c r="U505" s="779">
        <v>0</v>
      </c>
      <c r="V505" s="779">
        <v>0</v>
      </c>
    </row>
    <row r="506" spans="2:22" outlineLevel="1">
      <c r="B506" s="775" t="s">
        <v>525</v>
      </c>
      <c r="C506" s="1051" t="str">
        <f>IF('R6a - Net Debt input'!D326 = "","",'R6a - Net Debt input'!D326)</f>
        <v>Overdraft</v>
      </c>
      <c r="D506" s="1052" t="str">
        <f>IF('R6a - Net Debt input'!E319 = "","",'R6a - Net Debt input'!E319)</f>
        <v/>
      </c>
      <c r="E506" s="1052"/>
      <c r="F506" s="1052" t="str">
        <f>IF('R6a - Net Debt input'!G319 = "","",'R6a - Net Debt input'!G319)</f>
        <v/>
      </c>
      <c r="G506" s="1052" t="str">
        <f>IF('R6a - Net Debt input'!H319 = "","",'R6a - Net Debt input'!H319)</f>
        <v/>
      </c>
      <c r="H506" s="1052" t="str">
        <f>IF('R6a - Net Debt input'!I319 = "","",'R6a - Net Debt input'!I319)</f>
        <v/>
      </c>
      <c r="I506" s="1052" t="str">
        <f>IF('R6a - Net Debt input'!J319 = "","",'R6a - Net Debt input'!J319)</f>
        <v/>
      </c>
      <c r="M506" s="779">
        <v>0.3</v>
      </c>
      <c r="N506" s="779">
        <v>0.3</v>
      </c>
      <c r="O506" s="779">
        <v>0.3</v>
      </c>
      <c r="P506" s="779">
        <v>0.3</v>
      </c>
      <c r="Q506" s="779">
        <v>0.3</v>
      </c>
      <c r="R506" s="779">
        <v>0.3</v>
      </c>
      <c r="S506" s="779">
        <v>0.3</v>
      </c>
      <c r="T506" s="779">
        <v>0.3</v>
      </c>
      <c r="U506" s="779">
        <v>0.3</v>
      </c>
      <c r="V506" s="779">
        <v>0.3</v>
      </c>
    </row>
    <row r="507" spans="2:22" outlineLevel="1">
      <c r="B507" s="775" t="s">
        <v>526</v>
      </c>
      <c r="C507" s="1051" t="str">
        <f>IF('R6a - Net Debt input'!D327 = "","",'R6a - Net Debt input'!D327)</f>
        <v>Other borrowings</v>
      </c>
      <c r="D507" s="1052" t="str">
        <f>IF('R6a - Net Debt input'!E320 = "","",'R6a - Net Debt input'!E320)</f>
        <v/>
      </c>
      <c r="E507" s="1052"/>
      <c r="F507" s="1052" t="str">
        <f>IF('R6a - Net Debt input'!G320 = "","",'R6a - Net Debt input'!G320)</f>
        <v/>
      </c>
      <c r="G507" s="1052" t="str">
        <f>IF('R6a - Net Debt input'!H320 = "","",'R6a - Net Debt input'!H320)</f>
        <v/>
      </c>
      <c r="H507" s="1052" t="str">
        <f>IF('R6a - Net Debt input'!I320 = "","",'R6a - Net Debt input'!I320)</f>
        <v/>
      </c>
      <c r="I507" s="1052" t="str">
        <f>IF('R6a - Net Debt input'!J320 = "","",'R6a - Net Debt input'!J320)</f>
        <v/>
      </c>
      <c r="M507" s="779">
        <v>0</v>
      </c>
      <c r="N507" s="779">
        <v>0</v>
      </c>
      <c r="O507" s="779">
        <v>0</v>
      </c>
      <c r="P507" s="779">
        <v>0</v>
      </c>
      <c r="Q507" s="779">
        <v>0</v>
      </c>
      <c r="R507" s="779">
        <v>0</v>
      </c>
      <c r="S507" s="779">
        <v>0</v>
      </c>
      <c r="T507" s="779">
        <v>0</v>
      </c>
      <c r="U507" s="779">
        <v>0</v>
      </c>
      <c r="V507" s="779">
        <v>0</v>
      </c>
    </row>
    <row r="508" spans="2:22" outlineLevel="1">
      <c r="B508" s="775" t="s">
        <v>1049</v>
      </c>
      <c r="C508" s="1051" t="str">
        <f>IF('R6a - Net Debt input'!D328 = "","",'R6a - Net Debt input'!D328)</f>
        <v>Tax and Other</v>
      </c>
      <c r="D508" s="1052" t="str">
        <f>IF('R6a - Net Debt input'!E321 = "","",'R6a - Net Debt input'!E321)</f>
        <v/>
      </c>
      <c r="E508" s="1052"/>
      <c r="F508" s="1052" t="str">
        <f>IF('R6a - Net Debt input'!G321 = "","",'R6a - Net Debt input'!G321)</f>
        <v/>
      </c>
      <c r="G508" s="1052" t="str">
        <f>IF('R6a - Net Debt input'!H321 = "","",'R6a - Net Debt input'!H321)</f>
        <v/>
      </c>
      <c r="H508" s="1052" t="str">
        <f>IF('R6a - Net Debt input'!I321 = "","",'R6a - Net Debt input'!I321)</f>
        <v/>
      </c>
      <c r="I508" s="1052" t="str">
        <f>IF('R6a - Net Debt input'!J321 = "","",'R6a - Net Debt input'!J321)</f>
        <v/>
      </c>
      <c r="M508" s="779">
        <v>0</v>
      </c>
      <c r="N508" s="779">
        <v>0</v>
      </c>
      <c r="O508" s="779">
        <v>0</v>
      </c>
      <c r="P508" s="779">
        <v>0</v>
      </c>
      <c r="Q508" s="779">
        <v>0</v>
      </c>
      <c r="R508" s="779">
        <v>0</v>
      </c>
      <c r="S508" s="779">
        <v>0</v>
      </c>
      <c r="T508" s="779">
        <v>0</v>
      </c>
      <c r="U508" s="779">
        <v>0</v>
      </c>
      <c r="V508" s="779">
        <v>0</v>
      </c>
    </row>
    <row r="509" spans="2:22" outlineLevel="1">
      <c r="B509" s="775" t="s">
        <v>1050</v>
      </c>
      <c r="C509" s="1051" t="str">
        <f>IF('R6a - Net Debt input'!D329 = "","",'R6a - Net Debt input'!D329)</f>
        <v>Tax Income</v>
      </c>
      <c r="D509" s="1052" t="str">
        <f>IF('R6a - Net Debt input'!E322 = "","",'R6a - Net Debt input'!E322)</f>
        <v/>
      </c>
      <c r="E509" s="1052"/>
      <c r="F509" s="1052" t="str">
        <f>IF('R6a - Net Debt input'!G322 = "","",'R6a - Net Debt input'!G322)</f>
        <v/>
      </c>
      <c r="G509" s="1052" t="str">
        <f>IF('R6a - Net Debt input'!H322 = "","",'R6a - Net Debt input'!H322)</f>
        <v/>
      </c>
      <c r="H509" s="1052" t="str">
        <f>IF('R6a - Net Debt input'!I322 = "","",'R6a - Net Debt input'!I322)</f>
        <v/>
      </c>
      <c r="I509" s="1052" t="str">
        <f>IF('R6a - Net Debt input'!J322 = "","",'R6a - Net Debt input'!J322)</f>
        <v/>
      </c>
      <c r="M509" s="779">
        <v>0</v>
      </c>
      <c r="N509" s="779">
        <v>0</v>
      </c>
      <c r="O509" s="779">
        <v>0</v>
      </c>
      <c r="P509" s="779">
        <v>0</v>
      </c>
      <c r="Q509" s="779">
        <v>0</v>
      </c>
      <c r="R509" s="779">
        <v>0</v>
      </c>
      <c r="S509" s="779">
        <v>0</v>
      </c>
      <c r="T509" s="779">
        <v>0</v>
      </c>
      <c r="U509" s="779">
        <v>0</v>
      </c>
      <c r="V509" s="779">
        <v>0</v>
      </c>
    </row>
    <row r="510" spans="2:22" outlineLevel="1">
      <c r="B510" s="775" t="s">
        <v>1051</v>
      </c>
      <c r="C510" s="1051" t="str">
        <f>IF('R6a - Net Debt input'!D330 = "","",'R6a - Net Debt input'!D330)</f>
        <v>Collateral Income</v>
      </c>
      <c r="D510" s="1052" t="str">
        <f>IF('R6a - Net Debt input'!E323 = "","",'R6a - Net Debt input'!E323)</f>
        <v/>
      </c>
      <c r="E510" s="1052"/>
      <c r="F510" s="1052" t="str">
        <f>IF('R6a - Net Debt input'!G323 = "","",'R6a - Net Debt input'!G323)</f>
        <v/>
      </c>
      <c r="G510" s="1052" t="str">
        <f>IF('R6a - Net Debt input'!H323 = "","",'R6a - Net Debt input'!H323)</f>
        <v/>
      </c>
      <c r="H510" s="1052" t="str">
        <f>IF('R6a - Net Debt input'!I323 = "","",'R6a - Net Debt input'!I323)</f>
        <v/>
      </c>
      <c r="I510" s="1052" t="str">
        <f>IF('R6a - Net Debt input'!J323 = "","",'R6a - Net Debt input'!J323)</f>
        <v/>
      </c>
      <c r="M510" s="779">
        <v>0</v>
      </c>
      <c r="N510" s="779">
        <v>0</v>
      </c>
      <c r="O510" s="779">
        <v>0</v>
      </c>
      <c r="P510" s="779">
        <v>0</v>
      </c>
      <c r="Q510" s="779">
        <v>0</v>
      </c>
      <c r="R510" s="779">
        <v>0</v>
      </c>
      <c r="S510" s="779">
        <v>0</v>
      </c>
      <c r="T510" s="779">
        <v>0</v>
      </c>
      <c r="U510" s="779">
        <v>0</v>
      </c>
      <c r="V510" s="779">
        <v>0</v>
      </c>
    </row>
    <row r="511" spans="2:22" outlineLevel="1">
      <c r="B511" s="775" t="s">
        <v>1052</v>
      </c>
      <c r="C511" s="1051" t="str">
        <f>IF('R6a - Net Debt input'!D331 = "","",'R6a - Net Debt input'!D331)</f>
        <v>Collateral</v>
      </c>
      <c r="D511" s="1052" t="str">
        <f>IF('R6a - Net Debt input'!E324 = "","",'R6a - Net Debt input'!E324)</f>
        <v/>
      </c>
      <c r="E511" s="1052"/>
      <c r="F511" s="1052" t="str">
        <f>IF('R6a - Net Debt input'!G324 = "","",'R6a - Net Debt input'!G324)</f>
        <v/>
      </c>
      <c r="G511" s="1052" t="str">
        <f>IF('R6a - Net Debt input'!H324 = "","",'R6a - Net Debt input'!H324)</f>
        <v/>
      </c>
      <c r="H511" s="1052" t="str">
        <f>IF('R6a - Net Debt input'!I324 = "","",'R6a - Net Debt input'!I324)</f>
        <v/>
      </c>
      <c r="I511" s="1052" t="str">
        <f>IF('R6a - Net Debt input'!J324 = "","",'R6a - Net Debt input'!J324)</f>
        <v/>
      </c>
      <c r="M511" s="779">
        <v>-1</v>
      </c>
      <c r="N511" s="779">
        <v>0</v>
      </c>
      <c r="O511" s="779">
        <v>0</v>
      </c>
      <c r="P511" s="779">
        <v>0</v>
      </c>
      <c r="Q511" s="779">
        <v>0</v>
      </c>
      <c r="R511" s="779">
        <v>0</v>
      </c>
      <c r="S511" s="779">
        <v>0</v>
      </c>
      <c r="T511" s="779">
        <v>0</v>
      </c>
      <c r="U511" s="779">
        <v>0</v>
      </c>
      <c r="V511" s="779">
        <v>0</v>
      </c>
    </row>
    <row r="512" spans="2:22" outlineLevel="1">
      <c r="B512" s="775" t="s">
        <v>1053</v>
      </c>
      <c r="C512" s="1051" t="str">
        <f>IF('R6a - Net Debt input'!D332 = "","",'R6a - Net Debt input'!D332)</f>
        <v>BG Tax Accrual</v>
      </c>
      <c r="D512" s="1052" t="str">
        <f>IF('R6a - Net Debt input'!E325 = "","",'R6a - Net Debt input'!E325)</f>
        <v/>
      </c>
      <c r="E512" s="1052"/>
      <c r="F512" s="1052" t="str">
        <f>IF('R6a - Net Debt input'!G325 = "","",'R6a - Net Debt input'!G325)</f>
        <v/>
      </c>
      <c r="G512" s="1052" t="str">
        <f>IF('R6a - Net Debt input'!H325 = "","",'R6a - Net Debt input'!H325)</f>
        <v/>
      </c>
      <c r="H512" s="1052" t="str">
        <f>IF('R6a - Net Debt input'!I325 = "","",'R6a - Net Debt input'!I325)</f>
        <v/>
      </c>
      <c r="I512" s="1052" t="str">
        <f>IF('R6a - Net Debt input'!J325 = "","",'R6a - Net Debt input'!J325)</f>
        <v/>
      </c>
      <c r="M512" s="779">
        <v>0</v>
      </c>
      <c r="N512" s="779">
        <v>0</v>
      </c>
      <c r="O512" s="779">
        <v>0</v>
      </c>
      <c r="P512" s="779">
        <v>0</v>
      </c>
      <c r="Q512" s="779">
        <v>0</v>
      </c>
      <c r="R512" s="779">
        <v>0</v>
      </c>
      <c r="S512" s="779">
        <v>0</v>
      </c>
      <c r="T512" s="779">
        <v>0</v>
      </c>
      <c r="U512" s="779">
        <v>0</v>
      </c>
      <c r="V512" s="779">
        <v>0</v>
      </c>
    </row>
    <row r="513" spans="2:23" outlineLevel="1">
      <c r="B513" s="775" t="s">
        <v>1054</v>
      </c>
      <c r="C513" s="1051" t="str">
        <f>IF('R6a - Net Debt input'!D333 = "","",'R6a - Net Debt input'!D333)</f>
        <v>Facility Fees</v>
      </c>
      <c r="D513" s="1052" t="str">
        <f>IF('R6a - Net Debt input'!E326 = "","",'R6a - Net Debt input'!E326)</f>
        <v/>
      </c>
      <c r="E513" s="1052"/>
      <c r="F513" s="1052" t="str">
        <f>IF('R6a - Net Debt input'!G326 = "","",'R6a - Net Debt input'!G326)</f>
        <v/>
      </c>
      <c r="G513" s="1052" t="str">
        <f>IF('R6a - Net Debt input'!H326 = "","",'R6a - Net Debt input'!H326)</f>
        <v/>
      </c>
      <c r="H513" s="1052" t="str">
        <f>IF('R6a - Net Debt input'!I326 = "","",'R6a - Net Debt input'!I326)</f>
        <v/>
      </c>
      <c r="I513" s="1052" t="str">
        <f>IF('R6a - Net Debt input'!J326 = "","",'R6a - Net Debt input'!J326)</f>
        <v/>
      </c>
      <c r="M513" s="779">
        <v>0.3</v>
      </c>
      <c r="N513" s="779">
        <v>0.3</v>
      </c>
      <c r="O513" s="779">
        <v>0.3</v>
      </c>
      <c r="P513" s="779">
        <v>0.3</v>
      </c>
      <c r="Q513" s="779">
        <v>0.3</v>
      </c>
      <c r="R513" s="779">
        <v>0.3</v>
      </c>
      <c r="S513" s="779">
        <v>0.3</v>
      </c>
      <c r="T513" s="779">
        <v>0.3</v>
      </c>
      <c r="U513" s="779">
        <v>0.3</v>
      </c>
      <c r="V513" s="779">
        <v>0.3</v>
      </c>
    </row>
    <row r="514" spans="2:23" outlineLevel="1">
      <c r="B514" s="775" t="s">
        <v>1055</v>
      </c>
      <c r="C514" s="1051" t="str">
        <f>IF('R6a - Net Debt input'!D334 = "","",'R6a - Net Debt input'!D334)</f>
        <v>Rounding</v>
      </c>
      <c r="D514" s="1052" t="str">
        <f>IF('R6a - Net Debt input'!E327 = "","",'R6a - Net Debt input'!E327)</f>
        <v/>
      </c>
      <c r="E514" s="1052"/>
      <c r="F514" s="1052" t="str">
        <f>IF('R6a - Net Debt input'!G327 = "","",'R6a - Net Debt input'!G327)</f>
        <v/>
      </c>
      <c r="G514" s="1052" t="str">
        <f>IF('R6a - Net Debt input'!H327 = "","",'R6a - Net Debt input'!H327)</f>
        <v/>
      </c>
      <c r="H514" s="1052" t="str">
        <f>IF('R6a - Net Debt input'!I327 = "","",'R6a - Net Debt input'!I327)</f>
        <v/>
      </c>
      <c r="I514" s="1052" t="str">
        <f>IF('R6a - Net Debt input'!J327 = "","",'R6a - Net Debt input'!J327)</f>
        <v/>
      </c>
      <c r="M514" s="779">
        <v>0</v>
      </c>
      <c r="N514" s="779">
        <v>0</v>
      </c>
      <c r="O514" s="779">
        <v>0</v>
      </c>
      <c r="P514" s="779">
        <v>0</v>
      </c>
      <c r="Q514" s="779">
        <v>0</v>
      </c>
      <c r="R514" s="779">
        <v>0</v>
      </c>
      <c r="S514" s="779">
        <v>0</v>
      </c>
      <c r="T514" s="779">
        <v>0</v>
      </c>
      <c r="U514" s="779">
        <v>0</v>
      </c>
      <c r="V514" s="779">
        <v>0</v>
      </c>
    </row>
    <row r="515" spans="2:23" outlineLevel="1">
      <c r="B515" s="775" t="s">
        <v>1056</v>
      </c>
      <c r="C515" s="1051" t="str">
        <f>IF('R6a - Net Debt input'!D335 = "","",'R6a - Net Debt input'!D335)</f>
        <v>Swap termination</v>
      </c>
      <c r="D515" s="1052" t="str">
        <f>IF('R6a - Net Debt input'!E328 = "","",'R6a - Net Debt input'!E328)</f>
        <v/>
      </c>
      <c r="E515" s="1052"/>
      <c r="F515" s="1052" t="str">
        <f>IF('R6a - Net Debt input'!G328 = "","",'R6a - Net Debt input'!G328)</f>
        <v/>
      </c>
      <c r="G515" s="1052" t="str">
        <f>IF('R6a - Net Debt input'!H328 = "","",'R6a - Net Debt input'!H328)</f>
        <v/>
      </c>
      <c r="H515" s="1052" t="str">
        <f>IF('R6a - Net Debt input'!I328 = "","",'R6a - Net Debt input'!I328)</f>
        <v/>
      </c>
      <c r="I515" s="1052" t="str">
        <f>IF('R6a - Net Debt input'!J328 = "","",'R6a - Net Debt input'!J328)</f>
        <v/>
      </c>
      <c r="M515" s="779">
        <v>0</v>
      </c>
      <c r="N515" s="779">
        <v>0</v>
      </c>
      <c r="O515" s="779">
        <v>0</v>
      </c>
      <c r="P515" s="779">
        <v>0</v>
      </c>
      <c r="Q515" s="779">
        <v>0</v>
      </c>
      <c r="R515" s="779">
        <v>0</v>
      </c>
      <c r="S515" s="779">
        <v>0</v>
      </c>
      <c r="T515" s="779">
        <v>0</v>
      </c>
      <c r="U515" s="779">
        <v>0</v>
      </c>
      <c r="V515" s="779">
        <v>0</v>
      </c>
    </row>
    <row r="516" spans="2:23" outlineLevel="1">
      <c r="B516" s="775" t="s">
        <v>1057</v>
      </c>
      <c r="C516" s="1051" t="str">
        <f>IF('R6a - Net Debt input'!D336 = "","",'R6a - Net Debt input'!D336)</f>
        <v>Commercial business</v>
      </c>
      <c r="D516" s="1052" t="str">
        <f>IF('R6a - Net Debt input'!E329 = "","",'R6a - Net Debt input'!E329)</f>
        <v/>
      </c>
      <c r="E516" s="1052"/>
      <c r="F516" s="1052" t="str">
        <f>IF('R6a - Net Debt input'!G329 = "","",'R6a - Net Debt input'!G329)</f>
        <v/>
      </c>
      <c r="G516" s="1052" t="str">
        <f>IF('R6a - Net Debt input'!H329 = "","",'R6a - Net Debt input'!H329)</f>
        <v/>
      </c>
      <c r="H516" s="1052" t="str">
        <f>IF('R6a - Net Debt input'!I329 = "","",'R6a - Net Debt input'!I329)</f>
        <v/>
      </c>
      <c r="I516" s="1052" t="str">
        <f>IF('R6a - Net Debt input'!J329 = "","",'R6a - Net Debt input'!J329)</f>
        <v/>
      </c>
      <c r="M516" s="779">
        <v>0</v>
      </c>
      <c r="N516" s="779">
        <v>0</v>
      </c>
      <c r="O516" s="779">
        <v>0</v>
      </c>
      <c r="P516" s="779">
        <v>0</v>
      </c>
      <c r="Q516" s="779">
        <v>0</v>
      </c>
      <c r="R516" s="779">
        <v>0</v>
      </c>
      <c r="S516" s="779">
        <v>0</v>
      </c>
      <c r="T516" s="779">
        <v>0</v>
      </c>
      <c r="U516" s="779">
        <v>0</v>
      </c>
      <c r="V516" s="779">
        <v>0</v>
      </c>
    </row>
    <row r="517" spans="2:23" outlineLevel="1">
      <c r="B517" s="729" t="s">
        <v>527</v>
      </c>
      <c r="C517" s="1051" t="s">
        <v>479</v>
      </c>
      <c r="D517" s="1052"/>
      <c r="E517" s="1052"/>
      <c r="F517" s="1052"/>
      <c r="G517" s="1052"/>
      <c r="H517" s="1052"/>
      <c r="I517" s="1052"/>
      <c r="M517" s="779">
        <v>0</v>
      </c>
      <c r="N517" s="779">
        <v>0</v>
      </c>
      <c r="O517" s="779">
        <v>0</v>
      </c>
      <c r="P517" s="779">
        <v>0</v>
      </c>
      <c r="Q517" s="779">
        <v>0</v>
      </c>
      <c r="R517" s="779">
        <v>0</v>
      </c>
      <c r="S517" s="779">
        <v>0</v>
      </c>
      <c r="T517" s="779">
        <v>0</v>
      </c>
      <c r="U517" s="779">
        <v>0</v>
      </c>
      <c r="V517" s="779">
        <v>0</v>
      </c>
    </row>
    <row r="518" spans="2:23">
      <c r="B518" s="117"/>
      <c r="E518" s="117"/>
      <c r="F518" s="117"/>
      <c r="G518" s="117"/>
      <c r="H518" s="117"/>
      <c r="L518" s="537" t="s">
        <v>528</v>
      </c>
      <c r="M518" s="780">
        <f t="shared" ref="M518:V518" si="76">SUM(M504:M517)</f>
        <v>-0.39999999999999997</v>
      </c>
      <c r="N518" s="780">
        <f t="shared" si="76"/>
        <v>0.6</v>
      </c>
      <c r="O518" s="780">
        <f t="shared" si="76"/>
        <v>0.6</v>
      </c>
      <c r="P518" s="780">
        <f t="shared" si="76"/>
        <v>0.6</v>
      </c>
      <c r="Q518" s="780">
        <f t="shared" si="76"/>
        <v>0.6</v>
      </c>
      <c r="R518" s="780">
        <f t="shared" si="76"/>
        <v>0.6</v>
      </c>
      <c r="S518" s="780">
        <f t="shared" si="76"/>
        <v>0.6</v>
      </c>
      <c r="T518" s="780">
        <f t="shared" si="76"/>
        <v>0.6</v>
      </c>
      <c r="U518" s="780">
        <f t="shared" si="76"/>
        <v>0.6</v>
      </c>
      <c r="V518" s="780">
        <f t="shared" si="76"/>
        <v>0.6</v>
      </c>
    </row>
    <row r="519" spans="2:23">
      <c r="B519" s="117"/>
      <c r="U519" s="179"/>
    </row>
    <row r="520" spans="2:23" ht="14">
      <c r="B520" s="156" t="s">
        <v>529</v>
      </c>
      <c r="C520" s="157" t="s">
        <v>530</v>
      </c>
      <c r="D520" s="157"/>
      <c r="E520" s="157"/>
      <c r="F520" s="157"/>
      <c r="G520" s="158"/>
      <c r="H520" s="158"/>
      <c r="I520" s="158"/>
      <c r="J520" s="158"/>
      <c r="K520" s="158"/>
      <c r="L520" s="156"/>
      <c r="M520" s="157"/>
      <c r="N520" s="157"/>
      <c r="O520" s="157"/>
      <c r="P520" s="157"/>
      <c r="Q520" s="157"/>
      <c r="R520" s="157"/>
      <c r="S520" s="157"/>
      <c r="T520" s="157"/>
      <c r="U520" s="183"/>
      <c r="V520" s="157"/>
    </row>
    <row r="522" spans="2:23" ht="17.5" outlineLevel="1">
      <c r="B522" s="101"/>
      <c r="C522" s="98"/>
      <c r="D522" s="166" t="s">
        <v>396</v>
      </c>
      <c r="E522" s="168"/>
      <c r="F522" s="168"/>
      <c r="G522" s="167"/>
      <c r="H522" s="167"/>
      <c r="I522" s="167"/>
      <c r="J522" s="167"/>
      <c r="K522" s="167"/>
      <c r="L522" s="193"/>
      <c r="M522" s="168"/>
      <c r="N522" s="168"/>
      <c r="O522" s="168"/>
      <c r="P522" s="168"/>
      <c r="Q522" s="168"/>
      <c r="R522" s="168"/>
      <c r="S522" s="168"/>
      <c r="T522" s="168"/>
      <c r="U522" s="185"/>
      <c r="V522" s="168"/>
    </row>
    <row r="523" spans="2:23" outlineLevel="1">
      <c r="B523" s="101"/>
      <c r="C523" s="98"/>
      <c r="D523" s="98"/>
      <c r="E523" s="98"/>
      <c r="F523" s="98"/>
      <c r="G523" s="98"/>
      <c r="H523" s="98"/>
      <c r="I523" s="98"/>
      <c r="J523" s="98"/>
      <c r="K523" s="98"/>
      <c r="L523" s="98"/>
      <c r="M523" s="98"/>
      <c r="N523" s="98"/>
      <c r="O523" s="98"/>
      <c r="P523" s="98"/>
      <c r="Q523" s="98"/>
      <c r="R523" s="98"/>
      <c r="S523" s="98"/>
      <c r="T523" s="98"/>
      <c r="U523" s="98"/>
      <c r="V523" s="98"/>
      <c r="W523" s="98"/>
    </row>
    <row r="524" spans="2:23" outlineLevel="1">
      <c r="B524" s="731" t="s">
        <v>397</v>
      </c>
      <c r="C524" s="1063" t="s">
        <v>445</v>
      </c>
      <c r="D524" s="1064"/>
      <c r="E524" s="1064"/>
      <c r="F524" s="1064"/>
      <c r="G524" s="1064"/>
      <c r="H524" s="1064"/>
      <c r="I524" s="1065"/>
      <c r="M524" s="536" t="s">
        <v>398</v>
      </c>
      <c r="N524" s="536" t="s">
        <v>398</v>
      </c>
      <c r="O524" s="536" t="s">
        <v>398</v>
      </c>
      <c r="P524" s="536" t="s">
        <v>398</v>
      </c>
      <c r="Q524" s="536" t="s">
        <v>398</v>
      </c>
      <c r="R524" s="536" t="s">
        <v>398</v>
      </c>
      <c r="S524" s="536" t="s">
        <v>398</v>
      </c>
      <c r="T524" s="536" t="s">
        <v>398</v>
      </c>
      <c r="U524" s="536" t="s">
        <v>398</v>
      </c>
      <c r="V524" s="536" t="s">
        <v>398</v>
      </c>
    </row>
    <row r="525" spans="2:23" outlineLevel="1">
      <c r="B525" s="729" t="s">
        <v>531</v>
      </c>
      <c r="C525" s="1051" t="str">
        <f>IF('R6a - Net Debt input'!D349 = "","",'R6a - Net Debt input'!D349)</f>
        <v/>
      </c>
      <c r="D525" s="1052"/>
      <c r="E525" s="1052"/>
      <c r="F525" s="1052"/>
      <c r="G525" s="1052"/>
      <c r="H525" s="1052"/>
      <c r="I525" s="1052"/>
      <c r="M525" s="779">
        <v>0</v>
      </c>
      <c r="N525" s="779">
        <v>0</v>
      </c>
      <c r="O525" s="779">
        <v>0</v>
      </c>
      <c r="P525" s="779">
        <v>0</v>
      </c>
      <c r="Q525" s="779">
        <v>0</v>
      </c>
      <c r="R525" s="779">
        <v>0</v>
      </c>
      <c r="S525" s="779">
        <v>0</v>
      </c>
      <c r="T525" s="779">
        <v>0</v>
      </c>
      <c r="U525" s="779">
        <v>0</v>
      </c>
      <c r="V525" s="779">
        <v>0</v>
      </c>
    </row>
    <row r="526" spans="2:23" outlineLevel="1">
      <c r="B526" s="729" t="s">
        <v>532</v>
      </c>
      <c r="C526" s="1051" t="str">
        <f>IF('R6a - Net Debt input'!D341 = "","",'R6a - Net Debt input'!D341)</f>
        <v/>
      </c>
      <c r="D526" s="1052" t="str">
        <f>IF('R6a - Net Debt input'!E318 = "","",'R6a - Net Debt input'!E318)</f>
        <v/>
      </c>
      <c r="E526" s="1052" t="str">
        <f>IF('R6a - Net Debt input'!F318 = "","",'R6a - Net Debt input'!F318)</f>
        <v/>
      </c>
      <c r="F526" s="1052" t="str">
        <f>IF('R6a - Net Debt input'!G318 = "","",'R6a - Net Debt input'!G318)</f>
        <v/>
      </c>
      <c r="G526" s="1052" t="str">
        <f>IF('R6a - Net Debt input'!H318 = "","",'R6a - Net Debt input'!H318)</f>
        <v/>
      </c>
      <c r="H526" s="1052" t="str">
        <f>IF('R6a - Net Debt input'!I318 = "","",'R6a - Net Debt input'!I318)</f>
        <v/>
      </c>
      <c r="I526" s="1052" t="str">
        <f>IF('R6a - Net Debt input'!J318 = "","",'R6a - Net Debt input'!J318)</f>
        <v/>
      </c>
      <c r="M526" s="779">
        <v>0</v>
      </c>
      <c r="N526" s="779">
        <v>0</v>
      </c>
      <c r="O526" s="779">
        <v>0</v>
      </c>
      <c r="P526" s="779">
        <v>0</v>
      </c>
      <c r="Q526" s="779">
        <v>0</v>
      </c>
      <c r="R526" s="779">
        <v>0</v>
      </c>
      <c r="S526" s="779">
        <v>0</v>
      </c>
      <c r="T526" s="779">
        <v>0</v>
      </c>
      <c r="U526" s="779">
        <v>0</v>
      </c>
      <c r="V526" s="779">
        <v>0</v>
      </c>
    </row>
    <row r="527" spans="2:23" outlineLevel="1">
      <c r="B527" s="729" t="s">
        <v>533</v>
      </c>
      <c r="C527" s="1051" t="str">
        <f>IF('R6a - Net Debt input'!D342 = "","",'R6a - Net Debt input'!D342)</f>
        <v/>
      </c>
      <c r="D527" s="1052" t="str">
        <f>IF('R6a - Net Debt input'!E319 = "","",'R6a - Net Debt input'!E319)</f>
        <v/>
      </c>
      <c r="E527" s="1052" t="str">
        <f>IF('R6a - Net Debt input'!F319 = "","",'R6a - Net Debt input'!F319)</f>
        <v/>
      </c>
      <c r="F527" s="1052" t="str">
        <f>IF('R6a - Net Debt input'!G319 = "","",'R6a - Net Debt input'!G319)</f>
        <v/>
      </c>
      <c r="G527" s="1052" t="str">
        <f>IF('R6a - Net Debt input'!H319 = "","",'R6a - Net Debt input'!H319)</f>
        <v/>
      </c>
      <c r="H527" s="1052" t="str">
        <f>IF('R6a - Net Debt input'!I319 = "","",'R6a - Net Debt input'!I319)</f>
        <v/>
      </c>
      <c r="I527" s="1052" t="str">
        <f>IF('R6a - Net Debt input'!J319 = "","",'R6a - Net Debt input'!J319)</f>
        <v/>
      </c>
      <c r="M527" s="779">
        <v>0</v>
      </c>
      <c r="N527" s="779">
        <v>0</v>
      </c>
      <c r="O527" s="779">
        <v>0</v>
      </c>
      <c r="P527" s="779">
        <v>0</v>
      </c>
      <c r="Q527" s="779">
        <v>0</v>
      </c>
      <c r="R527" s="779">
        <v>0</v>
      </c>
      <c r="S527" s="779">
        <v>0</v>
      </c>
      <c r="T527" s="779">
        <v>0</v>
      </c>
      <c r="U527" s="779">
        <v>0</v>
      </c>
      <c r="V527" s="779">
        <v>0</v>
      </c>
    </row>
    <row r="528" spans="2:23" outlineLevel="1">
      <c r="B528" s="729" t="s">
        <v>534</v>
      </c>
      <c r="C528" s="1051" t="str">
        <f>IF('R6a - Net Debt input'!D343 = "","",'R6a - Net Debt input'!D343)</f>
        <v/>
      </c>
      <c r="D528" s="1052" t="str">
        <f>IF('R6a - Net Debt input'!E320 = "","",'R6a - Net Debt input'!E320)</f>
        <v/>
      </c>
      <c r="E528" s="1052" t="str">
        <f>IF('R6a - Net Debt input'!F320 = "","",'R6a - Net Debt input'!F320)</f>
        <v/>
      </c>
      <c r="F528" s="1052" t="str">
        <f>IF('R6a - Net Debt input'!G320 = "","",'R6a - Net Debt input'!G320)</f>
        <v/>
      </c>
      <c r="G528" s="1052" t="str">
        <f>IF('R6a - Net Debt input'!H320 = "","",'R6a - Net Debt input'!H320)</f>
        <v/>
      </c>
      <c r="H528" s="1052" t="str">
        <f>IF('R6a - Net Debt input'!I320 = "","",'R6a - Net Debt input'!I320)</f>
        <v/>
      </c>
      <c r="I528" s="1052" t="str">
        <f>IF('R6a - Net Debt input'!J320 = "","",'R6a - Net Debt input'!J320)</f>
        <v/>
      </c>
      <c r="M528" s="779">
        <v>0</v>
      </c>
      <c r="N528" s="779">
        <v>0</v>
      </c>
      <c r="O528" s="779">
        <v>0</v>
      </c>
      <c r="P528" s="779">
        <v>0</v>
      </c>
      <c r="Q528" s="779">
        <v>0</v>
      </c>
      <c r="R528" s="779">
        <v>0</v>
      </c>
      <c r="S528" s="779">
        <v>0</v>
      </c>
      <c r="T528" s="779">
        <v>0</v>
      </c>
      <c r="U528" s="779">
        <v>0</v>
      </c>
      <c r="V528" s="779">
        <v>0</v>
      </c>
    </row>
    <row r="529" spans="2:22" outlineLevel="1">
      <c r="B529" s="729" t="s">
        <v>535</v>
      </c>
      <c r="C529" s="1051" t="s">
        <v>479</v>
      </c>
      <c r="D529" s="1052"/>
      <c r="E529" s="1052"/>
      <c r="F529" s="1052"/>
      <c r="G529" s="1052"/>
      <c r="H529" s="1052"/>
      <c r="I529" s="1052"/>
      <c r="M529" s="779">
        <v>0</v>
      </c>
      <c r="N529" s="779">
        <v>0</v>
      </c>
      <c r="O529" s="779">
        <v>0</v>
      </c>
      <c r="P529" s="779">
        <v>0</v>
      </c>
      <c r="Q529" s="779">
        <v>0</v>
      </c>
      <c r="R529" s="779">
        <v>0</v>
      </c>
      <c r="S529" s="779">
        <v>0</v>
      </c>
      <c r="T529" s="779">
        <v>0</v>
      </c>
      <c r="U529" s="779">
        <v>0</v>
      </c>
      <c r="V529" s="779">
        <v>0</v>
      </c>
    </row>
    <row r="530" spans="2:22">
      <c r="B530" s="117"/>
      <c r="E530" s="117"/>
      <c r="F530" s="117"/>
      <c r="G530" s="117"/>
      <c r="H530" s="117"/>
      <c r="L530" s="537" t="s">
        <v>536</v>
      </c>
      <c r="M530" s="780">
        <f>SUM(M525:M529)</f>
        <v>0</v>
      </c>
      <c r="N530" s="780">
        <f t="shared" ref="N530:V530" si="77">SUM(N525:N529)</f>
        <v>0</v>
      </c>
      <c r="O530" s="780">
        <f t="shared" si="77"/>
        <v>0</v>
      </c>
      <c r="P530" s="780">
        <f t="shared" si="77"/>
        <v>0</v>
      </c>
      <c r="Q530" s="780">
        <f t="shared" si="77"/>
        <v>0</v>
      </c>
      <c r="R530" s="780">
        <f t="shared" si="77"/>
        <v>0</v>
      </c>
      <c r="S530" s="780">
        <f t="shared" si="77"/>
        <v>0</v>
      </c>
      <c r="T530" s="780">
        <f t="shared" si="77"/>
        <v>0</v>
      </c>
      <c r="U530" s="780">
        <f t="shared" si="77"/>
        <v>0</v>
      </c>
      <c r="V530" s="780">
        <f t="shared" si="77"/>
        <v>0</v>
      </c>
    </row>
    <row r="531" spans="2:22">
      <c r="B531" s="117"/>
    </row>
    <row r="532" spans="2:22" ht="17.5" outlineLevel="1">
      <c r="C532" s="98"/>
      <c r="D532" s="166" t="s">
        <v>403</v>
      </c>
      <c r="E532" s="167"/>
      <c r="F532" s="167"/>
      <c r="G532" s="167"/>
      <c r="H532" s="167"/>
      <c r="I532" s="167"/>
      <c r="J532" s="167"/>
      <c r="K532" s="167"/>
      <c r="L532" s="193"/>
      <c r="M532" s="167"/>
      <c r="N532" s="167"/>
      <c r="O532" s="167"/>
      <c r="P532" s="167"/>
      <c r="Q532" s="167"/>
      <c r="R532" s="167"/>
      <c r="S532" s="167"/>
      <c r="T532" s="167"/>
      <c r="U532" s="180"/>
      <c r="V532" s="167"/>
    </row>
    <row r="534" spans="2:22" outlineLevel="1">
      <c r="B534" s="731" t="s">
        <v>397</v>
      </c>
      <c r="C534" s="1063" t="s">
        <v>445</v>
      </c>
      <c r="D534" s="1064"/>
      <c r="E534" s="1064"/>
      <c r="F534" s="1064"/>
      <c r="G534" s="1064"/>
      <c r="H534" s="1064"/>
      <c r="I534" s="1065"/>
      <c r="M534" s="536" t="s">
        <v>398</v>
      </c>
      <c r="N534" s="536" t="s">
        <v>398</v>
      </c>
      <c r="O534" s="536" t="s">
        <v>398</v>
      </c>
      <c r="P534" s="536" t="s">
        <v>398</v>
      </c>
      <c r="Q534" s="536" t="s">
        <v>398</v>
      </c>
      <c r="R534" s="536" t="s">
        <v>398</v>
      </c>
      <c r="S534" s="536" t="s">
        <v>398</v>
      </c>
      <c r="T534" s="536" t="s">
        <v>398</v>
      </c>
      <c r="U534" s="536" t="s">
        <v>398</v>
      </c>
      <c r="V534" s="536" t="s">
        <v>398</v>
      </c>
    </row>
    <row r="535" spans="2:22" outlineLevel="1">
      <c r="B535" s="729" t="s">
        <v>531</v>
      </c>
      <c r="C535" s="1051" t="str">
        <f>IF('R6a - Net Debt input'!D349 = "","",'R6a - Net Debt input'!D349)</f>
        <v/>
      </c>
      <c r="D535" s="1052" t="str">
        <f>IF('R6a - Net Debt input'!E334 = "","",'R6a - Net Debt input'!E334)</f>
        <v/>
      </c>
      <c r="E535" s="1052" t="str">
        <f>IF('R6a - Net Debt input'!F334 = "","",'R6a - Net Debt input'!F334)</f>
        <v/>
      </c>
      <c r="F535" s="1052" t="str">
        <f>IF('R6a - Net Debt input'!G334 = "","",'R6a - Net Debt input'!G334)</f>
        <v/>
      </c>
      <c r="G535" s="1052" t="str">
        <f>IF('R6a - Net Debt input'!H334 = "","",'R6a - Net Debt input'!H334)</f>
        <v/>
      </c>
      <c r="H535" s="1052" t="str">
        <f>IF('R6a - Net Debt input'!I334 = "","",'R6a - Net Debt input'!I334)</f>
        <v/>
      </c>
      <c r="I535" s="1052" t="str">
        <f>IF('R6a - Net Debt input'!J334 = "","",'R6a - Net Debt input'!J334)</f>
        <v/>
      </c>
      <c r="M535" s="779">
        <v>0</v>
      </c>
      <c r="N535" s="779">
        <v>0</v>
      </c>
      <c r="O535" s="779">
        <v>0</v>
      </c>
      <c r="P535" s="779">
        <v>0</v>
      </c>
      <c r="Q535" s="779">
        <v>0</v>
      </c>
      <c r="R535" s="779">
        <v>0</v>
      </c>
      <c r="S535" s="779">
        <v>0</v>
      </c>
      <c r="T535" s="779">
        <v>0</v>
      </c>
      <c r="U535" s="779">
        <v>0</v>
      </c>
      <c r="V535" s="779">
        <v>0</v>
      </c>
    </row>
    <row r="536" spans="2:22" outlineLevel="1">
      <c r="B536" s="729" t="s">
        <v>532</v>
      </c>
      <c r="C536" s="1051" t="str">
        <f>IF('R6a - Net Debt input'!D350 = "","",'R6a - Net Debt input'!D350)</f>
        <v/>
      </c>
      <c r="D536" s="1052" t="str">
        <f>IF('R6a - Net Debt input'!E336 = "","",'R6a - Net Debt input'!E336)</f>
        <v/>
      </c>
      <c r="E536" s="1052" t="str">
        <f>IF('R6a - Net Debt input'!F336 = "","",'R6a - Net Debt input'!F336)</f>
        <v/>
      </c>
      <c r="F536" s="1052" t="str">
        <f>IF('R6a - Net Debt input'!G336 = "","",'R6a - Net Debt input'!G336)</f>
        <v/>
      </c>
      <c r="G536" s="1052" t="str">
        <f>IF('R6a - Net Debt input'!H336 = "","",'R6a - Net Debt input'!H336)</f>
        <v/>
      </c>
      <c r="H536" s="1052" t="str">
        <f>IF('R6a - Net Debt input'!I336 = "","",'R6a - Net Debt input'!I336)</f>
        <v/>
      </c>
      <c r="I536" s="1052" t="str">
        <f>IF('R6a - Net Debt input'!J336 = "","",'R6a - Net Debt input'!J336)</f>
        <v/>
      </c>
      <c r="M536" s="779">
        <v>0</v>
      </c>
      <c r="N536" s="779">
        <v>0</v>
      </c>
      <c r="O536" s="779">
        <v>0</v>
      </c>
      <c r="P536" s="779">
        <v>0</v>
      </c>
      <c r="Q536" s="779">
        <v>0</v>
      </c>
      <c r="R536" s="779">
        <v>0</v>
      </c>
      <c r="S536" s="779">
        <v>0</v>
      </c>
      <c r="T536" s="779">
        <v>0</v>
      </c>
      <c r="U536" s="779">
        <v>0</v>
      </c>
      <c r="V536" s="779">
        <v>0</v>
      </c>
    </row>
    <row r="537" spans="2:22" outlineLevel="1">
      <c r="B537" s="729" t="s">
        <v>533</v>
      </c>
      <c r="C537" s="1051" t="str">
        <f>IF('R6a - Net Debt input'!D351 = "","",'R6a - Net Debt input'!D351)</f>
        <v/>
      </c>
      <c r="D537" s="1052" t="str">
        <f>IF('R6a - Net Debt input'!E337 = "","",'R6a - Net Debt input'!E337)</f>
        <v/>
      </c>
      <c r="E537" s="1052" t="str">
        <f>IF('R6a - Net Debt input'!F337 = "","",'R6a - Net Debt input'!F337)</f>
        <v/>
      </c>
      <c r="F537" s="1052" t="str">
        <f>IF('R6a - Net Debt input'!G337 = "","",'R6a - Net Debt input'!G337)</f>
        <v/>
      </c>
      <c r="G537" s="1052" t="str">
        <f>IF('R6a - Net Debt input'!H337 = "","",'R6a - Net Debt input'!H337)</f>
        <v/>
      </c>
      <c r="H537" s="1052" t="str">
        <f>IF('R6a - Net Debt input'!I337 = "","",'R6a - Net Debt input'!I337)</f>
        <v/>
      </c>
      <c r="I537" s="1052" t="str">
        <f>IF('R6a - Net Debt input'!J337 = "","",'R6a - Net Debt input'!J337)</f>
        <v/>
      </c>
      <c r="M537" s="779">
        <v>0</v>
      </c>
      <c r="N537" s="779">
        <v>0</v>
      </c>
      <c r="O537" s="779">
        <v>0</v>
      </c>
      <c r="P537" s="779">
        <v>0</v>
      </c>
      <c r="Q537" s="779">
        <v>0</v>
      </c>
      <c r="R537" s="779">
        <v>0</v>
      </c>
      <c r="S537" s="779">
        <v>0</v>
      </c>
      <c r="T537" s="779">
        <v>0</v>
      </c>
      <c r="U537" s="779">
        <v>0</v>
      </c>
      <c r="V537" s="779">
        <v>0</v>
      </c>
    </row>
    <row r="538" spans="2:22" outlineLevel="1">
      <c r="B538" s="729" t="s">
        <v>534</v>
      </c>
      <c r="C538" s="1051" t="str">
        <f>IF('R6a - Net Debt input'!D352 = "","",'R6a - Net Debt input'!D352)</f>
        <v/>
      </c>
      <c r="D538" s="1052" t="str">
        <f>IF('R6a - Net Debt input'!E338 = "","",'R6a - Net Debt input'!E338)</f>
        <v/>
      </c>
      <c r="E538" s="1052" t="str">
        <f>IF('R6a - Net Debt input'!F338 = "","",'R6a - Net Debt input'!F338)</f>
        <v/>
      </c>
      <c r="F538" s="1052" t="str">
        <f>IF('R6a - Net Debt input'!G338 = "","",'R6a - Net Debt input'!G338)</f>
        <v/>
      </c>
      <c r="G538" s="1052" t="str">
        <f>IF('R6a - Net Debt input'!H338 = "","",'R6a - Net Debt input'!H338)</f>
        <v/>
      </c>
      <c r="H538" s="1052" t="str">
        <f>IF('R6a - Net Debt input'!I338 = "","",'R6a - Net Debt input'!I338)</f>
        <v/>
      </c>
      <c r="I538" s="1052" t="str">
        <f>IF('R6a - Net Debt input'!J338 = "","",'R6a - Net Debt input'!J338)</f>
        <v/>
      </c>
      <c r="M538" s="779">
        <v>0</v>
      </c>
      <c r="N538" s="779">
        <v>0</v>
      </c>
      <c r="O538" s="779">
        <v>0</v>
      </c>
      <c r="P538" s="779">
        <v>0</v>
      </c>
      <c r="Q538" s="779">
        <v>0</v>
      </c>
      <c r="R538" s="779">
        <v>0</v>
      </c>
      <c r="S538" s="779">
        <v>0</v>
      </c>
      <c r="T538" s="779">
        <v>0</v>
      </c>
      <c r="U538" s="779">
        <v>0</v>
      </c>
      <c r="V538" s="779">
        <v>0</v>
      </c>
    </row>
    <row r="539" spans="2:22" outlineLevel="1">
      <c r="B539" s="729" t="s">
        <v>535</v>
      </c>
      <c r="C539" s="1051" t="s">
        <v>479</v>
      </c>
      <c r="D539" s="1052"/>
      <c r="E539" s="1052"/>
      <c r="F539" s="1052"/>
      <c r="G539" s="1052"/>
      <c r="H539" s="1052"/>
      <c r="I539" s="1052"/>
      <c r="M539" s="779">
        <v>0</v>
      </c>
      <c r="N539" s="779">
        <v>0</v>
      </c>
      <c r="O539" s="779">
        <v>0</v>
      </c>
      <c r="P539" s="779">
        <v>0</v>
      </c>
      <c r="Q539" s="779">
        <v>0</v>
      </c>
      <c r="R539" s="779">
        <v>0</v>
      </c>
      <c r="S539" s="779">
        <v>0</v>
      </c>
      <c r="T539" s="779">
        <v>0</v>
      </c>
      <c r="U539" s="779">
        <v>0</v>
      </c>
      <c r="V539" s="779">
        <v>0</v>
      </c>
    </row>
    <row r="540" spans="2:22">
      <c r="B540" s="117"/>
      <c r="E540" s="117"/>
      <c r="F540" s="117"/>
      <c r="G540" s="117"/>
      <c r="H540" s="117"/>
      <c r="L540" s="537" t="s">
        <v>536</v>
      </c>
      <c r="M540" s="780">
        <f t="shared" ref="M540:V540" si="78">SUM(M535:M539)</f>
        <v>0</v>
      </c>
      <c r="N540" s="780">
        <f t="shared" si="78"/>
        <v>0</v>
      </c>
      <c r="O540" s="780">
        <f t="shared" si="78"/>
        <v>0</v>
      </c>
      <c r="P540" s="780">
        <f t="shared" si="78"/>
        <v>0</v>
      </c>
      <c r="Q540" s="780">
        <f t="shared" si="78"/>
        <v>0</v>
      </c>
      <c r="R540" s="780">
        <f t="shared" si="78"/>
        <v>0</v>
      </c>
      <c r="S540" s="780">
        <f t="shared" si="78"/>
        <v>0</v>
      </c>
      <c r="T540" s="780">
        <f t="shared" si="78"/>
        <v>0</v>
      </c>
      <c r="U540" s="780">
        <f t="shared" si="78"/>
        <v>0</v>
      </c>
      <c r="V540" s="780">
        <f t="shared" si="78"/>
        <v>0</v>
      </c>
    </row>
    <row r="541" spans="2:22">
      <c r="B541" s="117"/>
      <c r="E541" s="117"/>
      <c r="F541" s="117"/>
      <c r="G541" s="117"/>
      <c r="H541" s="117"/>
      <c r="U541" s="179"/>
    </row>
    <row r="542" spans="2:22" ht="15">
      <c r="B542" s="159" t="s">
        <v>537</v>
      </c>
      <c r="C542" s="155"/>
      <c r="D542" s="155"/>
      <c r="E542" s="160"/>
      <c r="F542" s="160"/>
      <c r="G542" s="155"/>
      <c r="H542" s="155"/>
      <c r="I542" s="155"/>
      <c r="J542" s="155"/>
      <c r="K542" s="155"/>
      <c r="L542" s="155"/>
      <c r="M542" s="155"/>
      <c r="N542" s="155"/>
      <c r="O542" s="155"/>
      <c r="P542" s="155"/>
      <c r="Q542" s="155"/>
      <c r="R542" s="155"/>
      <c r="S542" s="155"/>
      <c r="T542" s="155"/>
      <c r="U542" s="188"/>
      <c r="V542" s="155"/>
    </row>
    <row r="543" spans="2:22" ht="15">
      <c r="B543" s="171"/>
      <c r="E543" s="105"/>
      <c r="F543" s="105"/>
      <c r="U543" s="179"/>
    </row>
    <row r="544" spans="2:22" outlineLevel="1">
      <c r="B544" s="106" t="s">
        <v>538</v>
      </c>
      <c r="D544" s="105"/>
      <c r="M544" s="536" t="s">
        <v>398</v>
      </c>
      <c r="N544" s="536" t="s">
        <v>398</v>
      </c>
      <c r="O544" s="536" t="s">
        <v>398</v>
      </c>
      <c r="P544" s="536" t="s">
        <v>398</v>
      </c>
      <c r="Q544" s="536" t="s">
        <v>398</v>
      </c>
      <c r="R544" s="536" t="s">
        <v>398</v>
      </c>
      <c r="S544" s="536" t="s">
        <v>398</v>
      </c>
      <c r="T544" s="536" t="s">
        <v>398</v>
      </c>
      <c r="U544" s="536" t="s">
        <v>398</v>
      </c>
      <c r="V544" s="536" t="s">
        <v>398</v>
      </c>
    </row>
    <row r="545" spans="2:24" outlineLevel="1">
      <c r="C545" s="133" t="s">
        <v>539</v>
      </c>
      <c r="D545" s="131"/>
      <c r="E545" s="134"/>
      <c r="F545" s="131"/>
      <c r="G545" s="131"/>
      <c r="H545" s="131"/>
      <c r="I545" s="131"/>
      <c r="J545" s="131"/>
      <c r="K545" s="131"/>
      <c r="L545" s="131"/>
      <c r="M545" s="779">
        <v>0</v>
      </c>
      <c r="N545" s="779">
        <v>0</v>
      </c>
      <c r="O545" s="779">
        <v>0</v>
      </c>
      <c r="P545" s="779">
        <v>0</v>
      </c>
      <c r="Q545" s="779">
        <v>0</v>
      </c>
      <c r="R545" s="779">
        <v>0</v>
      </c>
      <c r="S545" s="779">
        <v>0</v>
      </c>
      <c r="T545" s="779">
        <v>0</v>
      </c>
      <c r="U545" s="779">
        <v>0</v>
      </c>
      <c r="V545" s="779">
        <v>0</v>
      </c>
      <c r="X545" s="538"/>
    </row>
    <row r="546" spans="2:24" outlineLevel="1">
      <c r="C546" s="133" t="s">
        <v>540</v>
      </c>
      <c r="D546" s="131"/>
      <c r="E546" s="134"/>
      <c r="F546" s="134"/>
      <c r="G546" s="131"/>
      <c r="H546" s="131"/>
      <c r="I546" s="131"/>
      <c r="J546" s="131"/>
      <c r="K546" s="131"/>
      <c r="L546" s="131"/>
      <c r="M546" s="779">
        <v>0</v>
      </c>
      <c r="N546" s="779">
        <v>0</v>
      </c>
      <c r="O546" s="779">
        <v>0</v>
      </c>
      <c r="P546" s="779">
        <v>0</v>
      </c>
      <c r="Q546" s="779">
        <v>0</v>
      </c>
      <c r="R546" s="779">
        <v>0</v>
      </c>
      <c r="S546" s="779">
        <v>0</v>
      </c>
      <c r="T546" s="779">
        <v>0</v>
      </c>
      <c r="U546" s="779">
        <v>0</v>
      </c>
      <c r="V546" s="779">
        <v>0</v>
      </c>
      <c r="X546" s="538"/>
    </row>
    <row r="547" spans="2:24" outlineLevel="1">
      <c r="B547" s="98" t="s">
        <v>393</v>
      </c>
      <c r="C547" s="131" t="s">
        <v>395</v>
      </c>
      <c r="D547" s="131"/>
      <c r="E547" s="134"/>
      <c r="F547" s="134"/>
      <c r="G547" s="131"/>
      <c r="H547" s="131"/>
      <c r="I547" s="131"/>
      <c r="J547" s="131"/>
      <c r="K547" s="131"/>
      <c r="L547" s="131"/>
      <c r="M547" s="780">
        <f t="shared" ref="M547:V547" si="79">M53</f>
        <v>240.5</v>
      </c>
      <c r="N547" s="780">
        <f t="shared" si="79"/>
        <v>312.13248367777317</v>
      </c>
      <c r="O547" s="780">
        <f t="shared" si="79"/>
        <v>186.93500112387397</v>
      </c>
      <c r="P547" s="780">
        <f t="shared" si="79"/>
        <v>136.85870625217041</v>
      </c>
      <c r="Q547" s="780">
        <f t="shared" si="79"/>
        <v>137.25809964822048</v>
      </c>
      <c r="R547" s="780">
        <f t="shared" si="79"/>
        <v>153.21278183368005</v>
      </c>
      <c r="S547" s="780">
        <f t="shared" si="79"/>
        <v>154.74104556129043</v>
      </c>
      <c r="T547" s="780">
        <f t="shared" si="79"/>
        <v>156.19995684812906</v>
      </c>
      <c r="U547" s="780">
        <f t="shared" si="79"/>
        <v>154.53452688097312</v>
      </c>
      <c r="V547" s="780">
        <f t="shared" si="79"/>
        <v>155.87742826470222</v>
      </c>
      <c r="X547" s="539">
        <f>X53</f>
        <v>0</v>
      </c>
    </row>
    <row r="548" spans="2:24" outlineLevel="1">
      <c r="B548" s="98" t="s">
        <v>393</v>
      </c>
      <c r="C548" s="133" t="s">
        <v>541</v>
      </c>
      <c r="D548" s="131"/>
      <c r="E548" s="134"/>
      <c r="F548" s="134"/>
      <c r="G548" s="131"/>
      <c r="H548" s="131"/>
      <c r="I548" s="131"/>
      <c r="J548" s="131"/>
      <c r="K548" s="131"/>
      <c r="L548" s="131"/>
      <c r="M548" s="780">
        <f t="shared" ref="M548:V548" si="80">M116</f>
        <v>33.400000000000006</v>
      </c>
      <c r="N548" s="780">
        <f t="shared" si="80"/>
        <v>2.71841708</v>
      </c>
      <c r="O548" s="780">
        <f t="shared" si="80"/>
        <v>0.2</v>
      </c>
      <c r="P548" s="780">
        <f t="shared" si="80"/>
        <v>0.2</v>
      </c>
      <c r="Q548" s="780">
        <f t="shared" si="80"/>
        <v>0.2</v>
      </c>
      <c r="R548" s="780">
        <f t="shared" si="80"/>
        <v>0.2</v>
      </c>
      <c r="S548" s="780">
        <f t="shared" si="80"/>
        <v>0.2</v>
      </c>
      <c r="T548" s="780">
        <f t="shared" si="80"/>
        <v>0.2</v>
      </c>
      <c r="U548" s="780">
        <f t="shared" si="80"/>
        <v>0.2</v>
      </c>
      <c r="V548" s="780">
        <f t="shared" si="80"/>
        <v>0.2</v>
      </c>
      <c r="X548" s="539">
        <f>X116</f>
        <v>0</v>
      </c>
    </row>
    <row r="549" spans="2:24" outlineLevel="1">
      <c r="B549" s="98" t="s">
        <v>421</v>
      </c>
      <c r="C549" s="133" t="s">
        <v>542</v>
      </c>
      <c r="D549" s="131"/>
      <c r="E549" s="134"/>
      <c r="F549" s="134"/>
      <c r="G549" s="131"/>
      <c r="H549" s="131"/>
      <c r="I549" s="131"/>
      <c r="J549" s="131"/>
      <c r="K549" s="131"/>
      <c r="L549" s="131"/>
      <c r="M549" s="780">
        <f t="shared" ref="M549:V549" si="81">M155</f>
        <v>0</v>
      </c>
      <c r="N549" s="780">
        <f t="shared" si="81"/>
        <v>0</v>
      </c>
      <c r="O549" s="780">
        <f t="shared" si="81"/>
        <v>0</v>
      </c>
      <c r="P549" s="780">
        <f t="shared" si="81"/>
        <v>0</v>
      </c>
      <c r="Q549" s="780">
        <f t="shared" si="81"/>
        <v>0</v>
      </c>
      <c r="R549" s="780">
        <f t="shared" si="81"/>
        <v>0</v>
      </c>
      <c r="S549" s="780">
        <f t="shared" si="81"/>
        <v>0</v>
      </c>
      <c r="T549" s="780">
        <f t="shared" si="81"/>
        <v>0</v>
      </c>
      <c r="U549" s="780">
        <f t="shared" si="81"/>
        <v>0</v>
      </c>
      <c r="V549" s="780">
        <f t="shared" si="81"/>
        <v>0</v>
      </c>
      <c r="X549" s="539">
        <f>X155</f>
        <v>0</v>
      </c>
    </row>
    <row r="550" spans="2:24" outlineLevel="1">
      <c r="B550" s="98" t="s">
        <v>543</v>
      </c>
      <c r="C550" s="133" t="s">
        <v>544</v>
      </c>
      <c r="D550" s="131"/>
      <c r="E550" s="134"/>
      <c r="F550" s="134"/>
      <c r="G550" s="131"/>
      <c r="H550" s="131"/>
      <c r="I550" s="131"/>
      <c r="J550" s="131"/>
      <c r="K550" s="131"/>
      <c r="L550" s="131"/>
      <c r="M550" s="780">
        <f t="shared" ref="M550:V550" si="82">SUM( M295,M364,M419,M442,M466,M498,M530)</f>
        <v>-20.9</v>
      </c>
      <c r="N550" s="780">
        <f t="shared" si="82"/>
        <v>-2.2204367696876295</v>
      </c>
      <c r="O550" s="780">
        <f t="shared" si="82"/>
        <v>-2.1241826322073196</v>
      </c>
      <c r="P550" s="780">
        <f t="shared" si="82"/>
        <v>-3.2055438539053891</v>
      </c>
      <c r="Q550" s="780">
        <f t="shared" si="82"/>
        <v>-3.4512026504061937</v>
      </c>
      <c r="R550" s="780">
        <f t="shared" si="82"/>
        <v>-3.6969525239721248</v>
      </c>
      <c r="S550" s="780">
        <f t="shared" si="82"/>
        <v>-3.8639886343567209</v>
      </c>
      <c r="T550" s="780">
        <f t="shared" si="82"/>
        <v>-4.2062419570994045</v>
      </c>
      <c r="U550" s="780">
        <f t="shared" si="82"/>
        <v>-2.0475685200580656</v>
      </c>
      <c r="V550" s="780">
        <f t="shared" si="82"/>
        <v>-1.6711626610484374</v>
      </c>
      <c r="X550" s="539"/>
    </row>
    <row r="551" spans="2:24" outlineLevel="1">
      <c r="C551" s="221" t="s">
        <v>545</v>
      </c>
      <c r="D551" s="222"/>
      <c r="E551" s="223"/>
      <c r="F551" s="223"/>
      <c r="G551" s="131"/>
      <c r="H551" s="131"/>
      <c r="I551" s="131"/>
      <c r="J551" s="131"/>
      <c r="K551" s="131"/>
      <c r="L551" s="131"/>
      <c r="M551" s="779">
        <v>0</v>
      </c>
      <c r="N551" s="779">
        <v>0</v>
      </c>
      <c r="O551" s="779">
        <v>0</v>
      </c>
      <c r="P551" s="779">
        <v>0</v>
      </c>
      <c r="Q551" s="779">
        <v>0</v>
      </c>
      <c r="R551" s="779">
        <v>0</v>
      </c>
      <c r="S551" s="779">
        <v>0</v>
      </c>
      <c r="T551" s="779">
        <v>0</v>
      </c>
      <c r="U551" s="779">
        <v>0</v>
      </c>
      <c r="V551" s="779">
        <v>0</v>
      </c>
      <c r="X551" s="538"/>
    </row>
    <row r="552" spans="2:24" outlineLevel="1">
      <c r="C552" s="221" t="s">
        <v>545</v>
      </c>
      <c r="D552" s="222"/>
      <c r="E552" s="223"/>
      <c r="F552" s="223"/>
      <c r="G552" s="131"/>
      <c r="H552" s="131"/>
      <c r="I552" s="131"/>
      <c r="J552" s="131"/>
      <c r="K552" s="131"/>
      <c r="L552" s="131"/>
      <c r="M552" s="779">
        <v>0</v>
      </c>
      <c r="N552" s="779">
        <v>0</v>
      </c>
      <c r="O552" s="779">
        <v>0</v>
      </c>
      <c r="P552" s="779">
        <v>0</v>
      </c>
      <c r="Q552" s="779">
        <v>0</v>
      </c>
      <c r="R552" s="779">
        <v>0</v>
      </c>
      <c r="S552" s="779">
        <v>0</v>
      </c>
      <c r="T552" s="779">
        <v>0</v>
      </c>
      <c r="U552" s="779">
        <v>0</v>
      </c>
      <c r="V552" s="779">
        <v>0</v>
      </c>
      <c r="X552" s="538"/>
    </row>
    <row r="553" spans="2:24" outlineLevel="1">
      <c r="C553" s="221" t="s">
        <v>545</v>
      </c>
      <c r="D553" s="222"/>
      <c r="E553" s="223"/>
      <c r="F553" s="223"/>
      <c r="G553" s="131"/>
      <c r="H553" s="131"/>
      <c r="I553" s="131"/>
      <c r="J553" s="131"/>
      <c r="K553" s="131"/>
      <c r="L553" s="131"/>
      <c r="M553" s="779">
        <v>0</v>
      </c>
      <c r="N553" s="779">
        <v>0</v>
      </c>
      <c r="O553" s="779">
        <v>0</v>
      </c>
      <c r="P553" s="779">
        <v>0</v>
      </c>
      <c r="Q553" s="779">
        <v>0</v>
      </c>
      <c r="R553" s="779">
        <v>0</v>
      </c>
      <c r="S553" s="779">
        <v>0</v>
      </c>
      <c r="T553" s="779">
        <v>0</v>
      </c>
      <c r="U553" s="779">
        <v>0</v>
      </c>
      <c r="V553" s="779">
        <v>0</v>
      </c>
      <c r="X553" s="538"/>
    </row>
    <row r="554" spans="2:24" outlineLevel="1">
      <c r="C554" s="221" t="s">
        <v>545</v>
      </c>
      <c r="D554" s="222"/>
      <c r="E554" s="223"/>
      <c r="F554" s="223"/>
      <c r="G554" s="131"/>
      <c r="H554" s="131"/>
      <c r="I554" s="131"/>
      <c r="J554" s="131"/>
      <c r="K554" s="131"/>
      <c r="L554" s="131"/>
      <c r="M554" s="779">
        <v>0</v>
      </c>
      <c r="N554" s="779">
        <v>0</v>
      </c>
      <c r="O554" s="779">
        <v>0</v>
      </c>
      <c r="P554" s="779">
        <v>0</v>
      </c>
      <c r="Q554" s="779">
        <v>0</v>
      </c>
      <c r="R554" s="779">
        <v>0</v>
      </c>
      <c r="S554" s="779">
        <v>0</v>
      </c>
      <c r="T554" s="779">
        <v>0</v>
      </c>
      <c r="U554" s="779">
        <v>0</v>
      </c>
      <c r="V554" s="779">
        <v>0</v>
      </c>
      <c r="X554" s="538"/>
    </row>
    <row r="555" spans="2:24" outlineLevel="1">
      <c r="C555" s="221" t="s">
        <v>545</v>
      </c>
      <c r="D555" s="222"/>
      <c r="E555" s="223"/>
      <c r="F555" s="223"/>
      <c r="G555" s="131"/>
      <c r="H555" s="131"/>
      <c r="I555" s="131"/>
      <c r="J555" s="131"/>
      <c r="K555" s="131"/>
      <c r="L555" s="131"/>
      <c r="M555" s="779">
        <v>0</v>
      </c>
      <c r="N555" s="779">
        <v>0</v>
      </c>
      <c r="O555" s="779">
        <v>0</v>
      </c>
      <c r="P555" s="779">
        <v>0</v>
      </c>
      <c r="Q555" s="779">
        <v>0</v>
      </c>
      <c r="R555" s="779">
        <v>0</v>
      </c>
      <c r="S555" s="779">
        <v>0</v>
      </c>
      <c r="T555" s="779">
        <v>0</v>
      </c>
      <c r="U555" s="779">
        <v>0</v>
      </c>
      <c r="V555" s="779">
        <v>0</v>
      </c>
      <c r="X555" s="538"/>
    </row>
    <row r="556" spans="2:24" outlineLevel="1">
      <c r="C556" s="135" t="s">
        <v>546</v>
      </c>
      <c r="D556" s="131"/>
      <c r="E556" s="134"/>
      <c r="F556" s="134"/>
      <c r="G556" s="131"/>
      <c r="H556" s="131"/>
      <c r="I556" s="131"/>
      <c r="J556" s="131"/>
      <c r="K556" s="131"/>
      <c r="L556" s="131"/>
      <c r="M556" s="780">
        <f t="shared" ref="M556:V556" si="83">SUM(M545:M555)</f>
        <v>252.99999999999997</v>
      </c>
      <c r="N556" s="780">
        <f t="shared" si="83"/>
        <v>312.63046398808552</v>
      </c>
      <c r="O556" s="780">
        <f t="shared" si="83"/>
        <v>185.01081849166664</v>
      </c>
      <c r="P556" s="780">
        <f t="shared" si="83"/>
        <v>133.853162398265</v>
      </c>
      <c r="Q556" s="780">
        <f t="shared" si="83"/>
        <v>134.00689699781427</v>
      </c>
      <c r="R556" s="780">
        <f t="shared" si="83"/>
        <v>149.71582930970791</v>
      </c>
      <c r="S556" s="780">
        <f t="shared" si="83"/>
        <v>151.07705692693369</v>
      </c>
      <c r="T556" s="780">
        <f t="shared" si="83"/>
        <v>152.19371489102966</v>
      </c>
      <c r="U556" s="780">
        <f t="shared" si="83"/>
        <v>152.68695836091504</v>
      </c>
      <c r="V556" s="780">
        <f t="shared" si="83"/>
        <v>154.40626560365376</v>
      </c>
      <c r="X556" s="392">
        <f>SUM(X545:X551)</f>
        <v>0</v>
      </c>
    </row>
    <row r="557" spans="2:24" outlineLevel="1">
      <c r="C557" s="133" t="s">
        <v>1132</v>
      </c>
      <c r="D557" s="131"/>
      <c r="E557" s="134"/>
      <c r="F557" s="134"/>
      <c r="G557" s="131"/>
      <c r="H557" s="131"/>
      <c r="I557" s="131"/>
      <c r="J557" s="131"/>
      <c r="K557" s="131"/>
      <c r="L557" s="131"/>
      <c r="M557" s="779">
        <v>0</v>
      </c>
      <c r="N557" s="779">
        <v>0</v>
      </c>
      <c r="O557" s="779">
        <v>0</v>
      </c>
      <c r="P557" s="779">
        <v>0</v>
      </c>
      <c r="Q557" s="779">
        <v>0</v>
      </c>
      <c r="R557" s="779">
        <v>0</v>
      </c>
      <c r="S557" s="779">
        <v>0</v>
      </c>
      <c r="T557" s="779">
        <v>0</v>
      </c>
      <c r="U557" s="779">
        <v>0</v>
      </c>
      <c r="V557" s="779">
        <v>0</v>
      </c>
      <c r="X557" s="538"/>
    </row>
    <row r="558" spans="2:24" outlineLevel="1">
      <c r="C558" s="133" t="s">
        <v>547</v>
      </c>
      <c r="D558" s="131"/>
      <c r="E558" s="134"/>
      <c r="F558" s="134"/>
      <c r="G558" s="131"/>
      <c r="H558" s="131"/>
      <c r="I558" s="131"/>
      <c r="J558" s="131"/>
      <c r="K558" s="131"/>
      <c r="L558" s="131"/>
      <c r="M558" s="779">
        <v>0.99296105000000001</v>
      </c>
      <c r="N558" s="779">
        <v>0.99296105000000001</v>
      </c>
      <c r="O558" s="779">
        <v>0.99296105000000001</v>
      </c>
      <c r="P558" s="779">
        <v>0.99296105000000001</v>
      </c>
      <c r="Q558" s="779">
        <v>0.99296105000000001</v>
      </c>
      <c r="R558" s="779">
        <v>0.99296105000000001</v>
      </c>
      <c r="S558" s="779">
        <v>0.99296105000000001</v>
      </c>
      <c r="T558" s="779">
        <v>0.99296105000000001</v>
      </c>
      <c r="U558" s="779">
        <v>0.99296105000000001</v>
      </c>
      <c r="V558" s="779">
        <v>0.99296105000000001</v>
      </c>
      <c r="X558" s="538"/>
    </row>
    <row r="559" spans="2:24" outlineLevel="1">
      <c r="C559" s="133" t="s">
        <v>548</v>
      </c>
      <c r="D559" s="131"/>
      <c r="E559" s="134"/>
      <c r="F559" s="134"/>
      <c r="G559" s="131"/>
      <c r="H559" s="131"/>
      <c r="I559" s="131"/>
      <c r="J559" s="131"/>
      <c r="K559" s="131"/>
      <c r="L559" s="131"/>
      <c r="M559" s="779">
        <v>0</v>
      </c>
      <c r="N559" s="779">
        <v>0</v>
      </c>
      <c r="O559" s="779">
        <v>0</v>
      </c>
      <c r="P559" s="779">
        <v>0</v>
      </c>
      <c r="Q559" s="779">
        <v>0</v>
      </c>
      <c r="R559" s="779">
        <v>0</v>
      </c>
      <c r="S559" s="779">
        <v>0</v>
      </c>
      <c r="T559" s="779">
        <v>0</v>
      </c>
      <c r="U559" s="779">
        <v>0</v>
      </c>
      <c r="V559" s="779">
        <v>0</v>
      </c>
      <c r="X559" s="538"/>
    </row>
    <row r="560" spans="2:24" outlineLevel="1">
      <c r="C560" s="133" t="s">
        <v>549</v>
      </c>
      <c r="D560" s="131"/>
      <c r="E560" s="134"/>
      <c r="F560" s="134"/>
      <c r="G560" s="131"/>
      <c r="H560" s="131"/>
      <c r="I560" s="131"/>
      <c r="J560" s="131"/>
      <c r="K560" s="131"/>
      <c r="L560" s="131"/>
      <c r="M560" s="779">
        <v>0</v>
      </c>
      <c r="N560" s="779">
        <v>0</v>
      </c>
      <c r="O560" s="779">
        <v>0</v>
      </c>
      <c r="P560" s="779">
        <v>0</v>
      </c>
      <c r="Q560" s="779">
        <v>0</v>
      </c>
      <c r="R560" s="779">
        <v>0</v>
      </c>
      <c r="S560" s="779">
        <v>0</v>
      </c>
      <c r="T560" s="779">
        <v>0</v>
      </c>
      <c r="U560" s="779">
        <v>0</v>
      </c>
      <c r="V560" s="779">
        <v>0</v>
      </c>
      <c r="X560" s="538"/>
    </row>
    <row r="561" spans="3:24" outlineLevel="1">
      <c r="C561" s="133" t="s">
        <v>550</v>
      </c>
      <c r="D561" s="131"/>
      <c r="E561" s="134"/>
      <c r="F561" s="134"/>
      <c r="G561" s="131"/>
      <c r="H561" s="131"/>
      <c r="I561" s="131"/>
      <c r="J561" s="131"/>
      <c r="K561" s="131"/>
      <c r="L561" s="131"/>
      <c r="M561" s="779">
        <v>0</v>
      </c>
      <c r="N561" s="779">
        <v>0</v>
      </c>
      <c r="O561" s="779">
        <v>0</v>
      </c>
      <c r="P561" s="779">
        <v>0</v>
      </c>
      <c r="Q561" s="779">
        <v>0</v>
      </c>
      <c r="R561" s="779">
        <v>0</v>
      </c>
      <c r="S561" s="779">
        <v>0</v>
      </c>
      <c r="T561" s="779">
        <v>0</v>
      </c>
      <c r="U561" s="779">
        <v>0</v>
      </c>
      <c r="V561" s="779">
        <v>0</v>
      </c>
      <c r="X561" s="538"/>
    </row>
    <row r="562" spans="3:24" outlineLevel="1">
      <c r="C562" s="133" t="s">
        <v>551</v>
      </c>
      <c r="D562" s="131"/>
      <c r="E562" s="134"/>
      <c r="F562" s="134"/>
      <c r="G562" s="131"/>
      <c r="H562" s="131"/>
      <c r="I562" s="131"/>
      <c r="J562" s="131"/>
      <c r="K562" s="131"/>
      <c r="L562" s="131"/>
      <c r="M562" s="779">
        <v>-16.460697490000001</v>
      </c>
      <c r="N562" s="779">
        <v>-16.460697490000001</v>
      </c>
      <c r="O562" s="779">
        <v>-16.460697490000001</v>
      </c>
      <c r="P562" s="779">
        <v>-16.460697490000001</v>
      </c>
      <c r="Q562" s="779">
        <v>-16.460697490000001</v>
      </c>
      <c r="R562" s="779">
        <v>-16.460697490000001</v>
      </c>
      <c r="S562" s="779">
        <v>-16.460697490000001</v>
      </c>
      <c r="T562" s="779">
        <v>-16.460697490000001</v>
      </c>
      <c r="U562" s="779">
        <v>-16.460697490000001</v>
      </c>
      <c r="V562" s="779">
        <v>-16.460697490000001</v>
      </c>
      <c r="X562" s="538"/>
    </row>
    <row r="563" spans="3:24" outlineLevel="1">
      <c r="C563" s="133" t="s">
        <v>552</v>
      </c>
      <c r="D563" s="131"/>
      <c r="E563" s="136"/>
      <c r="F563" s="136"/>
      <c r="G563" s="131"/>
      <c r="H563" s="131"/>
      <c r="I563" s="131"/>
      <c r="J563" s="131"/>
      <c r="K563" s="131"/>
      <c r="L563" s="131"/>
      <c r="M563" s="779">
        <v>-8.6611995299999993</v>
      </c>
      <c r="N563" s="779">
        <v>-8.6611995299999993</v>
      </c>
      <c r="O563" s="779">
        <v>-8.6611995299999993</v>
      </c>
      <c r="P563" s="779">
        <v>-8.6611995299999993</v>
      </c>
      <c r="Q563" s="779">
        <v>-8.6611995299999993</v>
      </c>
      <c r="R563" s="779">
        <v>-8.6611995299999993</v>
      </c>
      <c r="S563" s="779">
        <v>-8.6611995299999993</v>
      </c>
      <c r="T563" s="779">
        <v>-8.6611995299999993</v>
      </c>
      <c r="U563" s="779">
        <v>-8.6611995299999993</v>
      </c>
      <c r="V563" s="779">
        <v>-8.6611995299999993</v>
      </c>
      <c r="X563" s="538"/>
    </row>
    <row r="564" spans="3:24" outlineLevel="1">
      <c r="C564" s="131" t="s">
        <v>553</v>
      </c>
      <c r="D564" s="136"/>
      <c r="E564" s="136"/>
      <c r="F564" s="131"/>
      <c r="G564" s="131"/>
      <c r="H564" s="131"/>
      <c r="I564" s="131"/>
      <c r="J564" s="131"/>
      <c r="K564" s="131"/>
      <c r="L564" s="131"/>
      <c r="M564" s="779">
        <v>0</v>
      </c>
      <c r="N564" s="779">
        <v>0</v>
      </c>
      <c r="O564" s="779">
        <v>0</v>
      </c>
      <c r="P564" s="779">
        <v>0</v>
      </c>
      <c r="Q564" s="779">
        <v>0</v>
      </c>
      <c r="R564" s="779">
        <v>0</v>
      </c>
      <c r="S564" s="779">
        <v>0</v>
      </c>
      <c r="T564" s="779">
        <v>0</v>
      </c>
      <c r="U564" s="779">
        <v>0</v>
      </c>
      <c r="V564" s="779">
        <v>0</v>
      </c>
      <c r="X564" s="538"/>
    </row>
    <row r="565" spans="3:24" outlineLevel="1">
      <c r="C565" s="221" t="s">
        <v>1058</v>
      </c>
      <c r="D565" s="222"/>
      <c r="E565" s="223"/>
      <c r="F565" s="223"/>
      <c r="G565" s="131"/>
      <c r="H565" s="131"/>
      <c r="I565" s="131"/>
      <c r="J565" s="131"/>
      <c r="K565" s="131"/>
      <c r="L565" s="131"/>
      <c r="M565" s="779">
        <v>1.4688857</v>
      </c>
      <c r="N565" s="779">
        <v>1.4688857</v>
      </c>
      <c r="O565" s="779">
        <v>1.4688857</v>
      </c>
      <c r="P565" s="779">
        <v>1.4688857</v>
      </c>
      <c r="Q565" s="779">
        <v>1.4688857</v>
      </c>
      <c r="R565" s="779">
        <v>1.4688857</v>
      </c>
      <c r="S565" s="779">
        <v>1.4688857</v>
      </c>
      <c r="T565" s="779">
        <v>1.4688857</v>
      </c>
      <c r="U565" s="779">
        <v>1.4688857</v>
      </c>
      <c r="V565" s="779">
        <v>1.4688857</v>
      </c>
      <c r="X565" s="538"/>
    </row>
    <row r="566" spans="3:24" outlineLevel="1">
      <c r="C566" s="221" t="s">
        <v>554</v>
      </c>
      <c r="D566" s="222"/>
      <c r="E566" s="223"/>
      <c r="F566" s="223"/>
      <c r="G566" s="131"/>
      <c r="H566" s="131"/>
      <c r="I566" s="131"/>
      <c r="J566" s="131"/>
      <c r="K566" s="131"/>
      <c r="L566" s="131"/>
      <c r="M566" s="779">
        <v>0</v>
      </c>
      <c r="N566" s="779">
        <v>0</v>
      </c>
      <c r="O566" s="779">
        <v>0</v>
      </c>
      <c r="P566" s="779">
        <v>0</v>
      </c>
      <c r="Q566" s="779">
        <v>0</v>
      </c>
      <c r="R566" s="779">
        <v>0</v>
      </c>
      <c r="S566" s="779">
        <v>0</v>
      </c>
      <c r="T566" s="779">
        <v>0</v>
      </c>
      <c r="U566" s="779">
        <v>0</v>
      </c>
      <c r="V566" s="779">
        <v>0</v>
      </c>
      <c r="X566" s="538"/>
    </row>
    <row r="567" spans="3:24" outlineLevel="1">
      <c r="C567" s="221" t="s">
        <v>554</v>
      </c>
      <c r="D567" s="222"/>
      <c r="E567" s="223"/>
      <c r="F567" s="223"/>
      <c r="G567" s="131"/>
      <c r="H567" s="131"/>
      <c r="I567" s="131"/>
      <c r="J567" s="131"/>
      <c r="K567" s="131"/>
      <c r="L567" s="131"/>
      <c r="M567" s="779">
        <v>0</v>
      </c>
      <c r="N567" s="779">
        <v>0</v>
      </c>
      <c r="O567" s="779">
        <v>0</v>
      </c>
      <c r="P567" s="779">
        <v>0</v>
      </c>
      <c r="Q567" s="779">
        <v>0</v>
      </c>
      <c r="R567" s="779">
        <v>0</v>
      </c>
      <c r="S567" s="779">
        <v>0</v>
      </c>
      <c r="T567" s="779">
        <v>0</v>
      </c>
      <c r="U567" s="779">
        <v>0</v>
      </c>
      <c r="V567" s="779">
        <v>0</v>
      </c>
      <c r="X567" s="538"/>
    </row>
    <row r="568" spans="3:24" outlineLevel="1">
      <c r="C568" s="221" t="s">
        <v>554</v>
      </c>
      <c r="D568" s="222"/>
      <c r="E568" s="223"/>
      <c r="F568" s="223"/>
      <c r="G568" s="131"/>
      <c r="H568" s="131"/>
      <c r="I568" s="131"/>
      <c r="J568" s="131"/>
      <c r="K568" s="131"/>
      <c r="L568" s="131"/>
      <c r="M568" s="779">
        <v>0</v>
      </c>
      <c r="N568" s="779">
        <v>0</v>
      </c>
      <c r="O568" s="779">
        <v>0</v>
      </c>
      <c r="P568" s="779">
        <v>0</v>
      </c>
      <c r="Q568" s="779">
        <v>0</v>
      </c>
      <c r="R568" s="779">
        <v>0</v>
      </c>
      <c r="S568" s="779">
        <v>0</v>
      </c>
      <c r="T568" s="779">
        <v>0</v>
      </c>
      <c r="U568" s="779">
        <v>0</v>
      </c>
      <c r="V568" s="779">
        <v>0</v>
      </c>
      <c r="X568" s="538"/>
    </row>
    <row r="569" spans="3:24" outlineLevel="1">
      <c r="C569" s="221" t="s">
        <v>554</v>
      </c>
      <c r="D569" s="222"/>
      <c r="E569" s="223"/>
      <c r="F569" s="223"/>
      <c r="G569" s="131"/>
      <c r="H569" s="131"/>
      <c r="I569" s="131"/>
      <c r="J569" s="131"/>
      <c r="K569" s="131"/>
      <c r="L569" s="131"/>
      <c r="M569" s="779">
        <v>0</v>
      </c>
      <c r="N569" s="779">
        <v>0</v>
      </c>
      <c r="O569" s="779">
        <v>0</v>
      </c>
      <c r="P569" s="779">
        <v>0</v>
      </c>
      <c r="Q569" s="779">
        <v>0</v>
      </c>
      <c r="R569" s="779">
        <v>0</v>
      </c>
      <c r="S569" s="779">
        <v>0</v>
      </c>
      <c r="T569" s="779">
        <v>0</v>
      </c>
      <c r="U569" s="779">
        <v>0</v>
      </c>
      <c r="V569" s="779">
        <v>0</v>
      </c>
      <c r="X569" s="538"/>
    </row>
    <row r="570" spans="3:24" outlineLevel="1">
      <c r="C570" s="221" t="s">
        <v>554</v>
      </c>
      <c r="D570" s="222"/>
      <c r="E570" s="223"/>
      <c r="F570" s="223"/>
      <c r="G570" s="131"/>
      <c r="H570" s="131"/>
      <c r="I570" s="131"/>
      <c r="J570" s="131"/>
      <c r="K570" s="131"/>
      <c r="L570" s="131"/>
      <c r="M570" s="779">
        <v>0</v>
      </c>
      <c r="N570" s="779">
        <v>0</v>
      </c>
      <c r="O570" s="779">
        <v>0</v>
      </c>
      <c r="P570" s="779">
        <v>0</v>
      </c>
      <c r="Q570" s="779">
        <v>0</v>
      </c>
      <c r="R570" s="779">
        <v>0</v>
      </c>
      <c r="S570" s="779">
        <v>0</v>
      </c>
      <c r="T570" s="779">
        <v>0</v>
      </c>
      <c r="U570" s="779">
        <v>0</v>
      </c>
      <c r="V570" s="779">
        <v>0</v>
      </c>
      <c r="X570" s="538"/>
    </row>
    <row r="571" spans="3:24" outlineLevel="1">
      <c r="C571" s="221" t="s">
        <v>554</v>
      </c>
      <c r="D571" s="222"/>
      <c r="E571" s="223"/>
      <c r="F571" s="223"/>
      <c r="G571" s="131"/>
      <c r="H571" s="131"/>
      <c r="I571" s="131"/>
      <c r="J571" s="131"/>
      <c r="K571" s="131"/>
      <c r="L571" s="131"/>
      <c r="M571" s="779">
        <v>0</v>
      </c>
      <c r="N571" s="779">
        <v>0</v>
      </c>
      <c r="O571" s="779">
        <v>0</v>
      </c>
      <c r="P571" s="779">
        <v>0</v>
      </c>
      <c r="Q571" s="779">
        <v>0</v>
      </c>
      <c r="R571" s="779">
        <v>0</v>
      </c>
      <c r="S571" s="779">
        <v>0</v>
      </c>
      <c r="T571" s="779">
        <v>0</v>
      </c>
      <c r="U571" s="779">
        <v>0</v>
      </c>
      <c r="V571" s="779">
        <v>0</v>
      </c>
      <c r="X571" s="538"/>
    </row>
    <row r="572" spans="3:24" outlineLevel="1">
      <c r="C572" s="135" t="s">
        <v>555</v>
      </c>
      <c r="D572" s="131"/>
      <c r="E572" s="137"/>
      <c r="F572" s="137"/>
      <c r="G572" s="131"/>
      <c r="H572" s="131"/>
      <c r="I572" s="131"/>
      <c r="J572" s="131"/>
      <c r="K572" s="131"/>
      <c r="L572" s="131"/>
      <c r="M572" s="780">
        <f>SUM(M556:M571)</f>
        <v>230.33994972999994</v>
      </c>
      <c r="N572" s="780">
        <f t="shared" ref="N572:V572" si="84">SUM(N556:N571)</f>
        <v>289.97041371808552</v>
      </c>
      <c r="O572" s="780">
        <f t="shared" si="84"/>
        <v>162.35076822166661</v>
      </c>
      <c r="P572" s="780">
        <f t="shared" si="84"/>
        <v>111.19311212826499</v>
      </c>
      <c r="Q572" s="780">
        <f t="shared" si="84"/>
        <v>111.34684672781425</v>
      </c>
      <c r="R572" s="780">
        <f t="shared" si="84"/>
        <v>127.0557790397079</v>
      </c>
      <c r="S572" s="780">
        <f t="shared" si="84"/>
        <v>128.41700665693367</v>
      </c>
      <c r="T572" s="780">
        <f t="shared" si="84"/>
        <v>129.53366462102963</v>
      </c>
      <c r="U572" s="780">
        <f t="shared" si="84"/>
        <v>130.02690809091501</v>
      </c>
      <c r="V572" s="780">
        <f t="shared" si="84"/>
        <v>131.74621533365374</v>
      </c>
      <c r="X572" s="392">
        <f>SUM(X556:X564)</f>
        <v>0</v>
      </c>
    </row>
    <row r="573" spans="3:24" outlineLevel="1">
      <c r="C573" s="142"/>
      <c r="D573" s="143"/>
      <c r="E573" s="144"/>
      <c r="F573" s="144"/>
      <c r="G573" s="143"/>
      <c r="H573" s="143"/>
      <c r="I573" s="143"/>
      <c r="J573" s="143"/>
      <c r="K573" s="143"/>
      <c r="L573" s="143"/>
      <c r="M573" s="107"/>
      <c r="N573" s="107"/>
      <c r="O573" s="107"/>
      <c r="P573" s="107"/>
      <c r="Q573" s="107"/>
      <c r="R573" s="107"/>
      <c r="S573" s="107"/>
      <c r="T573" s="107"/>
      <c r="U573" s="189"/>
      <c r="V573" s="107"/>
      <c r="X573" s="107"/>
    </row>
    <row r="574" spans="3:24" outlineLevel="1">
      <c r="C574" s="145" t="s">
        <v>556</v>
      </c>
      <c r="D574" s="146"/>
      <c r="E574" s="146"/>
      <c r="F574" s="147"/>
      <c r="G574" s="146"/>
      <c r="H574" s="146"/>
      <c r="I574" s="146"/>
      <c r="J574" s="146"/>
      <c r="K574" s="146"/>
      <c r="L574" s="146"/>
      <c r="M574" s="107"/>
      <c r="N574" s="107"/>
      <c r="O574" s="107"/>
      <c r="P574" s="107"/>
      <c r="Q574" s="107"/>
      <c r="R574" s="107"/>
      <c r="S574" s="107"/>
      <c r="T574" s="107"/>
      <c r="U574" s="189"/>
      <c r="V574" s="107"/>
      <c r="X574" s="107"/>
    </row>
    <row r="575" spans="3:24" outlineLevel="1">
      <c r="C575" s="133" t="s">
        <v>557</v>
      </c>
      <c r="D575" s="131"/>
      <c r="E575" s="134"/>
      <c r="F575" s="134"/>
      <c r="G575" s="131"/>
      <c r="H575" s="131"/>
      <c r="I575" s="131"/>
      <c r="J575" s="131"/>
      <c r="K575" s="131"/>
      <c r="L575" s="134"/>
      <c r="M575" s="779">
        <v>0</v>
      </c>
      <c r="N575" s="779">
        <v>0</v>
      </c>
      <c r="O575" s="779">
        <v>0</v>
      </c>
      <c r="P575" s="779">
        <v>0</v>
      </c>
      <c r="Q575" s="779">
        <v>0</v>
      </c>
      <c r="R575" s="779">
        <v>0</v>
      </c>
      <c r="S575" s="779">
        <v>0</v>
      </c>
      <c r="T575" s="779">
        <v>0</v>
      </c>
      <c r="U575" s="779">
        <v>0</v>
      </c>
      <c r="V575" s="779">
        <v>0</v>
      </c>
      <c r="X575" s="538"/>
    </row>
    <row r="576" spans="3:24" outlineLevel="1">
      <c r="C576" s="134" t="s">
        <v>558</v>
      </c>
      <c r="D576" s="131"/>
      <c r="E576" s="134"/>
      <c r="F576" s="134"/>
      <c r="G576" s="131"/>
      <c r="H576" s="131"/>
      <c r="I576" s="131"/>
      <c r="J576" s="131"/>
      <c r="K576" s="131"/>
      <c r="L576" s="134"/>
      <c r="M576" s="779">
        <v>0</v>
      </c>
      <c r="N576" s="779">
        <v>0</v>
      </c>
      <c r="O576" s="779">
        <v>0</v>
      </c>
      <c r="P576" s="779">
        <v>0</v>
      </c>
      <c r="Q576" s="779">
        <v>0</v>
      </c>
      <c r="R576" s="779">
        <v>0</v>
      </c>
      <c r="S576" s="779">
        <v>0</v>
      </c>
      <c r="T576" s="779">
        <v>0</v>
      </c>
      <c r="U576" s="779">
        <v>0</v>
      </c>
      <c r="V576" s="779">
        <v>0</v>
      </c>
      <c r="X576" s="538"/>
    </row>
    <row r="577" spans="2:24" outlineLevel="1">
      <c r="C577" s="134" t="s">
        <v>559</v>
      </c>
      <c r="D577" s="131"/>
      <c r="E577" s="134"/>
      <c r="F577" s="134"/>
      <c r="G577" s="131"/>
      <c r="H577" s="131"/>
      <c r="I577" s="131"/>
      <c r="J577" s="131"/>
      <c r="K577" s="131"/>
      <c r="L577" s="134"/>
      <c r="M577" s="779">
        <v>0</v>
      </c>
      <c r="N577" s="779">
        <v>0</v>
      </c>
      <c r="O577" s="779">
        <v>0</v>
      </c>
      <c r="P577" s="779">
        <v>0</v>
      </c>
      <c r="Q577" s="779">
        <v>0</v>
      </c>
      <c r="R577" s="779">
        <v>0</v>
      </c>
      <c r="S577" s="779">
        <v>0</v>
      </c>
      <c r="T577" s="779">
        <v>0</v>
      </c>
      <c r="U577" s="779">
        <v>0</v>
      </c>
      <c r="V577" s="779">
        <v>0</v>
      </c>
      <c r="X577" s="538"/>
    </row>
    <row r="578" spans="2:24" outlineLevel="1">
      <c r="B578" s="98" t="s">
        <v>432</v>
      </c>
      <c r="C578" s="133" t="s">
        <v>560</v>
      </c>
      <c r="D578" s="131"/>
      <c r="E578" s="134"/>
      <c r="F578" s="134"/>
      <c r="G578" s="131"/>
      <c r="H578" s="131"/>
      <c r="I578" s="131"/>
      <c r="J578" s="131"/>
      <c r="K578" s="131"/>
      <c r="L578" s="134"/>
      <c r="M578" s="780">
        <f t="shared" ref="M578:V578" si="85">M188</f>
        <v>-3.2748884246612935</v>
      </c>
      <c r="N578" s="780">
        <f t="shared" si="85"/>
        <v>0</v>
      </c>
      <c r="O578" s="780">
        <f t="shared" si="85"/>
        <v>0</v>
      </c>
      <c r="P578" s="780">
        <f t="shared" si="85"/>
        <v>0</v>
      </c>
      <c r="Q578" s="780">
        <f t="shared" si="85"/>
        <v>0</v>
      </c>
      <c r="R578" s="780">
        <f t="shared" si="85"/>
        <v>0</v>
      </c>
      <c r="S578" s="780">
        <f t="shared" si="85"/>
        <v>0</v>
      </c>
      <c r="T578" s="780">
        <f t="shared" si="85"/>
        <v>0</v>
      </c>
      <c r="U578" s="780">
        <f t="shared" si="85"/>
        <v>0</v>
      </c>
      <c r="V578" s="780">
        <f t="shared" si="85"/>
        <v>0</v>
      </c>
      <c r="X578" s="393">
        <f>X188</f>
        <v>0</v>
      </c>
    </row>
    <row r="579" spans="2:24" outlineLevel="1">
      <c r="C579" s="135" t="s">
        <v>561</v>
      </c>
      <c r="D579" s="131"/>
      <c r="E579" s="134"/>
      <c r="F579" s="134"/>
      <c r="G579" s="131"/>
      <c r="H579" s="131"/>
      <c r="I579" s="131"/>
      <c r="J579" s="131"/>
      <c r="K579" s="131"/>
      <c r="L579" s="134"/>
      <c r="M579" s="780">
        <f t="shared" ref="M579:X579" si="86">SUM(M575:M578)</f>
        <v>-3.2748884246612935</v>
      </c>
      <c r="N579" s="780">
        <f t="shared" si="86"/>
        <v>0</v>
      </c>
      <c r="O579" s="780">
        <f t="shared" si="86"/>
        <v>0</v>
      </c>
      <c r="P579" s="780">
        <f t="shared" si="86"/>
        <v>0</v>
      </c>
      <c r="Q579" s="780">
        <f t="shared" si="86"/>
        <v>0</v>
      </c>
      <c r="R579" s="780">
        <f t="shared" si="86"/>
        <v>0</v>
      </c>
      <c r="S579" s="780">
        <f t="shared" si="86"/>
        <v>0</v>
      </c>
      <c r="T579" s="780">
        <f t="shared" si="86"/>
        <v>0</v>
      </c>
      <c r="U579" s="780">
        <f t="shared" si="86"/>
        <v>0</v>
      </c>
      <c r="V579" s="780">
        <f t="shared" si="86"/>
        <v>0</v>
      </c>
      <c r="X579" s="392">
        <f t="shared" si="86"/>
        <v>0</v>
      </c>
    </row>
    <row r="580" spans="2:24" outlineLevel="1">
      <c r="C580" s="133" t="s">
        <v>562</v>
      </c>
      <c r="D580" s="131"/>
      <c r="E580" s="134"/>
      <c r="F580" s="134"/>
      <c r="G580" s="131"/>
      <c r="H580" s="131"/>
      <c r="I580" s="131"/>
      <c r="J580" s="131"/>
      <c r="K580" s="131"/>
      <c r="L580" s="134"/>
      <c r="M580" s="779">
        <v>-2.0000000400000002</v>
      </c>
      <c r="N580" s="779">
        <v>-2.0000000400000002</v>
      </c>
      <c r="O580" s="779">
        <v>-2.0000000400000002</v>
      </c>
      <c r="P580" s="779">
        <v>-2.0000000400000002</v>
      </c>
      <c r="Q580" s="779">
        <v>-2.0000000400000002</v>
      </c>
      <c r="R580" s="779">
        <v>-2.0000000400000002</v>
      </c>
      <c r="S580" s="779">
        <v>-2.0000000400000002</v>
      </c>
      <c r="T580" s="779">
        <v>-2.0000000400000002</v>
      </c>
      <c r="U580" s="779">
        <v>-2.0000000400000002</v>
      </c>
      <c r="V580" s="779">
        <v>-2.0000000400000002</v>
      </c>
      <c r="X580" s="538"/>
    </row>
    <row r="581" spans="2:24" outlineLevel="1">
      <c r="C581" s="133" t="s">
        <v>563</v>
      </c>
      <c r="D581" s="131"/>
      <c r="E581" s="134"/>
      <c r="F581" s="134"/>
      <c r="G581" s="131"/>
      <c r="H581" s="131"/>
      <c r="I581" s="131"/>
      <c r="J581" s="131"/>
      <c r="K581" s="131"/>
      <c r="L581" s="134"/>
      <c r="M581" s="779">
        <v>0</v>
      </c>
      <c r="N581" s="779">
        <v>0</v>
      </c>
      <c r="O581" s="779">
        <v>0</v>
      </c>
      <c r="P581" s="779">
        <v>0</v>
      </c>
      <c r="Q581" s="779">
        <v>0</v>
      </c>
      <c r="R581" s="779">
        <v>0</v>
      </c>
      <c r="S581" s="779">
        <v>0</v>
      </c>
      <c r="T581" s="779">
        <v>0</v>
      </c>
      <c r="U581" s="779">
        <v>0</v>
      </c>
      <c r="V581" s="779">
        <v>0</v>
      </c>
      <c r="X581" s="538"/>
    </row>
    <row r="582" spans="2:24" outlineLevel="1">
      <c r="C582" s="133" t="s">
        <v>564</v>
      </c>
      <c r="D582" s="131"/>
      <c r="E582" s="136"/>
      <c r="F582" s="136"/>
      <c r="G582" s="131"/>
      <c r="H582" s="131"/>
      <c r="I582" s="131"/>
      <c r="J582" s="131"/>
      <c r="K582" s="131"/>
      <c r="L582" s="131"/>
      <c r="M582" s="779">
        <v>0</v>
      </c>
      <c r="N582" s="779">
        <v>0</v>
      </c>
      <c r="O582" s="779">
        <v>0</v>
      </c>
      <c r="P582" s="779">
        <v>0</v>
      </c>
      <c r="Q582" s="779">
        <v>0</v>
      </c>
      <c r="R582" s="779">
        <v>0</v>
      </c>
      <c r="S582" s="779">
        <v>0</v>
      </c>
      <c r="T582" s="779">
        <v>0</v>
      </c>
      <c r="U582" s="779">
        <v>0</v>
      </c>
      <c r="V582" s="779">
        <v>0</v>
      </c>
      <c r="X582" s="538"/>
    </row>
    <row r="583" spans="2:24" outlineLevel="1">
      <c r="C583" s="221" t="s">
        <v>1133</v>
      </c>
      <c r="D583" s="222"/>
      <c r="E583" s="223"/>
      <c r="F583" s="223"/>
      <c r="G583" s="131"/>
      <c r="H583" s="131"/>
      <c r="I583" s="131"/>
      <c r="J583" s="131"/>
      <c r="K583" s="131"/>
      <c r="L583" s="134"/>
      <c r="M583" s="779">
        <v>-45.793502945338702</v>
      </c>
      <c r="N583" s="779">
        <v>0</v>
      </c>
      <c r="O583" s="779">
        <v>0</v>
      </c>
      <c r="P583" s="779">
        <v>0</v>
      </c>
      <c r="Q583" s="779">
        <v>0</v>
      </c>
      <c r="R583" s="779">
        <v>0</v>
      </c>
      <c r="S583" s="779">
        <v>0</v>
      </c>
      <c r="T583" s="779">
        <v>0</v>
      </c>
      <c r="U583" s="779">
        <v>0</v>
      </c>
      <c r="V583" s="779">
        <v>0</v>
      </c>
      <c r="X583" s="538"/>
    </row>
    <row r="584" spans="2:24" outlineLevel="1">
      <c r="C584" s="135" t="s">
        <v>565</v>
      </c>
      <c r="D584" s="131"/>
      <c r="E584" s="134"/>
      <c r="F584" s="134"/>
      <c r="G584" s="131"/>
      <c r="H584" s="131"/>
      <c r="I584" s="131"/>
      <c r="J584" s="131"/>
      <c r="K584" s="131"/>
      <c r="L584" s="134"/>
      <c r="M584" s="780">
        <f>SUM(M579:M583)</f>
        <v>-51.068391409999997</v>
      </c>
      <c r="N584" s="780">
        <f t="shared" ref="N584:X584" si="87">SUM(N579:N583)</f>
        <v>-2.0000000400000002</v>
      </c>
      <c r="O584" s="780">
        <f t="shared" si="87"/>
        <v>-2.0000000400000002</v>
      </c>
      <c r="P584" s="780">
        <f t="shared" si="87"/>
        <v>-2.0000000400000002</v>
      </c>
      <c r="Q584" s="780">
        <f t="shared" si="87"/>
        <v>-2.0000000400000002</v>
      </c>
      <c r="R584" s="780">
        <f t="shared" si="87"/>
        <v>-2.0000000400000002</v>
      </c>
      <c r="S584" s="780">
        <f t="shared" si="87"/>
        <v>-2.0000000400000002</v>
      </c>
      <c r="T584" s="780">
        <f t="shared" si="87"/>
        <v>-2.0000000400000002</v>
      </c>
      <c r="U584" s="780">
        <f t="shared" si="87"/>
        <v>-2.0000000400000002</v>
      </c>
      <c r="V584" s="780">
        <f t="shared" si="87"/>
        <v>-2.0000000400000002</v>
      </c>
      <c r="X584" s="392">
        <f t="shared" si="87"/>
        <v>0</v>
      </c>
    </row>
    <row r="585" spans="2:24" outlineLevel="1">
      <c r="C585" s="153"/>
      <c r="D585" s="143"/>
      <c r="E585" s="144"/>
      <c r="F585" s="144"/>
      <c r="G585" s="143"/>
      <c r="H585" s="143"/>
      <c r="I585" s="143"/>
      <c r="J585" s="143"/>
      <c r="K585" s="143"/>
      <c r="L585" s="144"/>
      <c r="M585" s="107"/>
      <c r="N585" s="107"/>
      <c r="O585" s="107"/>
      <c r="P585" s="107"/>
      <c r="Q585" s="107"/>
      <c r="R585" s="107"/>
      <c r="S585" s="107"/>
      <c r="T585" s="107"/>
      <c r="U585" s="189"/>
      <c r="V585" s="107"/>
      <c r="X585" s="107"/>
    </row>
    <row r="586" spans="2:24" outlineLevel="1">
      <c r="C586" s="149" t="s">
        <v>566</v>
      </c>
      <c r="D586" s="150"/>
      <c r="E586" s="150"/>
      <c r="F586" s="150"/>
      <c r="G586" s="146"/>
      <c r="H586" s="146"/>
      <c r="I586" s="146"/>
      <c r="J586" s="146"/>
      <c r="K586" s="146"/>
      <c r="L586" s="147"/>
      <c r="U586" s="179"/>
    </row>
    <row r="587" spans="2:24" outlineLevel="1">
      <c r="C587" s="138" t="s">
        <v>567</v>
      </c>
      <c r="D587" s="138"/>
      <c r="E587" s="138"/>
      <c r="F587" s="138"/>
      <c r="G587" s="131"/>
      <c r="H587" s="131"/>
      <c r="I587" s="131"/>
      <c r="J587" s="131"/>
      <c r="K587" s="131"/>
      <c r="L587" s="131"/>
      <c r="M587" s="780">
        <f t="shared" ref="M587:X587" si="88">M572</f>
        <v>230.33994972999994</v>
      </c>
      <c r="N587" s="780">
        <f t="shared" si="88"/>
        <v>289.97041371808552</v>
      </c>
      <c r="O587" s="780">
        <f t="shared" si="88"/>
        <v>162.35076822166661</v>
      </c>
      <c r="P587" s="780">
        <f t="shared" si="88"/>
        <v>111.19311212826499</v>
      </c>
      <c r="Q587" s="780">
        <f t="shared" si="88"/>
        <v>111.34684672781425</v>
      </c>
      <c r="R587" s="780">
        <f t="shared" si="88"/>
        <v>127.0557790397079</v>
      </c>
      <c r="S587" s="780">
        <f t="shared" si="88"/>
        <v>128.41700665693367</v>
      </c>
      <c r="T587" s="780">
        <f t="shared" si="88"/>
        <v>129.53366462102963</v>
      </c>
      <c r="U587" s="780">
        <f t="shared" si="88"/>
        <v>130.02690809091501</v>
      </c>
      <c r="V587" s="780">
        <f t="shared" si="88"/>
        <v>131.74621533365374</v>
      </c>
      <c r="X587" s="539">
        <f t="shared" si="88"/>
        <v>0</v>
      </c>
    </row>
    <row r="588" spans="2:24" ht="12.75" customHeight="1" outlineLevel="1">
      <c r="C588" s="138" t="s">
        <v>568</v>
      </c>
      <c r="D588" s="139"/>
      <c r="E588" s="139"/>
      <c r="F588" s="139"/>
      <c r="G588" s="131"/>
      <c r="H588" s="131"/>
      <c r="I588" s="131"/>
      <c r="J588" s="131"/>
      <c r="K588" s="131"/>
      <c r="L588" s="131"/>
      <c r="M588" s="780">
        <f t="shared" ref="M588:X588" si="89">M584</f>
        <v>-51.068391409999997</v>
      </c>
      <c r="N588" s="780">
        <f t="shared" si="89"/>
        <v>-2.0000000400000002</v>
      </c>
      <c r="O588" s="780">
        <f t="shared" si="89"/>
        <v>-2.0000000400000002</v>
      </c>
      <c r="P588" s="780">
        <f t="shared" si="89"/>
        <v>-2.0000000400000002</v>
      </c>
      <c r="Q588" s="780">
        <f t="shared" si="89"/>
        <v>-2.0000000400000002</v>
      </c>
      <c r="R588" s="780">
        <f t="shared" si="89"/>
        <v>-2.0000000400000002</v>
      </c>
      <c r="S588" s="780">
        <f t="shared" si="89"/>
        <v>-2.0000000400000002</v>
      </c>
      <c r="T588" s="780">
        <f t="shared" si="89"/>
        <v>-2.0000000400000002</v>
      </c>
      <c r="U588" s="780">
        <f t="shared" si="89"/>
        <v>-2.0000000400000002</v>
      </c>
      <c r="V588" s="780">
        <f t="shared" si="89"/>
        <v>-2.0000000400000002</v>
      </c>
      <c r="X588" s="539">
        <f t="shared" si="89"/>
        <v>0</v>
      </c>
    </row>
    <row r="589" spans="2:24" outlineLevel="1">
      <c r="C589" s="138" t="s">
        <v>569</v>
      </c>
      <c r="D589" s="138"/>
      <c r="E589" s="138"/>
      <c r="F589" s="138"/>
      <c r="G589" s="131"/>
      <c r="H589" s="131"/>
      <c r="I589" s="131"/>
      <c r="J589" s="131"/>
      <c r="K589" s="131"/>
      <c r="L589" s="131"/>
      <c r="M589" s="780">
        <f>SUM(M587:M588)</f>
        <v>179.27155831999994</v>
      </c>
      <c r="N589" s="780">
        <f t="shared" ref="N589:X589" si="90">SUM(N587:N588)</f>
        <v>287.97041367808555</v>
      </c>
      <c r="O589" s="780">
        <f t="shared" si="90"/>
        <v>160.35076818166661</v>
      </c>
      <c r="P589" s="780">
        <f t="shared" si="90"/>
        <v>109.19311208826498</v>
      </c>
      <c r="Q589" s="780">
        <f t="shared" si="90"/>
        <v>109.34684668781425</v>
      </c>
      <c r="R589" s="780">
        <f t="shared" si="90"/>
        <v>125.0557789997079</v>
      </c>
      <c r="S589" s="780">
        <f t="shared" si="90"/>
        <v>126.41700661693366</v>
      </c>
      <c r="T589" s="780">
        <f t="shared" si="90"/>
        <v>127.53366458102963</v>
      </c>
      <c r="U589" s="780">
        <f t="shared" si="90"/>
        <v>128.02690805091501</v>
      </c>
      <c r="V589" s="780">
        <f t="shared" si="90"/>
        <v>129.74621529365373</v>
      </c>
      <c r="X589" s="392">
        <f t="shared" si="90"/>
        <v>0</v>
      </c>
    </row>
    <row r="590" spans="2:24" outlineLevel="1">
      <c r="C590" s="143"/>
      <c r="D590" s="143"/>
      <c r="E590" s="143"/>
      <c r="F590" s="143"/>
      <c r="G590" s="143"/>
      <c r="H590" s="143"/>
      <c r="I590" s="143"/>
      <c r="J590" s="143"/>
      <c r="K590" s="143"/>
      <c r="L590" s="143"/>
      <c r="U590" s="179"/>
    </row>
    <row r="591" spans="2:24" outlineLevel="1">
      <c r="B591" s="109"/>
      <c r="C591" s="148" t="s">
        <v>570</v>
      </c>
      <c r="D591" s="148"/>
      <c r="E591" s="146"/>
      <c r="F591" s="146"/>
      <c r="G591" s="146"/>
      <c r="H591" s="146"/>
      <c r="I591" s="146"/>
      <c r="J591" s="146"/>
      <c r="K591" s="146"/>
      <c r="L591" s="146"/>
      <c r="U591" s="179"/>
    </row>
    <row r="592" spans="2:24" outlineLevel="1">
      <c r="B592" s="109"/>
      <c r="C592" s="131" t="s">
        <v>571</v>
      </c>
      <c r="D592" s="131"/>
      <c r="E592" s="131"/>
      <c r="F592" s="131"/>
      <c r="G592" s="131"/>
      <c r="H592" s="131"/>
      <c r="I592" s="131"/>
      <c r="J592" s="131"/>
      <c r="K592" s="131"/>
      <c r="L592" s="131"/>
      <c r="M592" s="758">
        <v>0</v>
      </c>
      <c r="N592" s="758">
        <v>0</v>
      </c>
      <c r="O592" s="758">
        <v>0</v>
      </c>
      <c r="P592" s="758">
        <v>0</v>
      </c>
      <c r="Q592" s="758">
        <v>0</v>
      </c>
      <c r="R592" s="758">
        <v>0</v>
      </c>
      <c r="S592" s="758">
        <v>0</v>
      </c>
      <c r="T592" s="758">
        <v>0</v>
      </c>
      <c r="U592" s="758">
        <v>0</v>
      </c>
      <c r="V592" s="758">
        <v>0</v>
      </c>
    </row>
    <row r="593" spans="2:22" outlineLevel="1">
      <c r="B593" s="109"/>
      <c r="C593" s="131" t="s">
        <v>572</v>
      </c>
      <c r="D593" s="131"/>
      <c r="E593" s="131"/>
      <c r="F593" s="131"/>
      <c r="G593" s="131"/>
      <c r="H593" s="131"/>
      <c r="I593" s="131"/>
      <c r="J593" s="131"/>
      <c r="K593" s="131"/>
      <c r="L593" s="131"/>
      <c r="M593" s="733">
        <f>1-M592</f>
        <v>1</v>
      </c>
      <c r="N593" s="733">
        <f t="shared" ref="N593:V593" si="91">1-N592</f>
        <v>1</v>
      </c>
      <c r="O593" s="733">
        <f t="shared" si="91"/>
        <v>1</v>
      </c>
      <c r="P593" s="733">
        <f t="shared" si="91"/>
        <v>1</v>
      </c>
      <c r="Q593" s="733">
        <f t="shared" si="91"/>
        <v>1</v>
      </c>
      <c r="R593" s="733">
        <f t="shared" si="91"/>
        <v>1</v>
      </c>
      <c r="S593" s="733">
        <f t="shared" si="91"/>
        <v>1</v>
      </c>
      <c r="T593" s="733">
        <f t="shared" si="91"/>
        <v>1</v>
      </c>
      <c r="U593" s="733">
        <f t="shared" si="91"/>
        <v>1</v>
      </c>
      <c r="V593" s="733">
        <f t="shared" si="91"/>
        <v>1</v>
      </c>
    </row>
    <row r="594" spans="2:22" outlineLevel="1">
      <c r="C594" s="143"/>
      <c r="D594" s="143"/>
      <c r="E594" s="143"/>
      <c r="F594" s="143"/>
      <c r="G594" s="143"/>
      <c r="H594" s="143"/>
      <c r="I594" s="143"/>
      <c r="J594" s="143"/>
      <c r="K594" s="143"/>
      <c r="L594" s="143"/>
      <c r="U594" s="179"/>
    </row>
    <row r="595" spans="2:22" outlineLevel="1">
      <c r="C595" s="149" t="s">
        <v>573</v>
      </c>
      <c r="D595" s="150"/>
      <c r="E595" s="150"/>
      <c r="F595" s="150"/>
      <c r="G595" s="146"/>
      <c r="H595" s="146"/>
      <c r="I595" s="146"/>
      <c r="J595" s="146"/>
      <c r="K595" s="146"/>
      <c r="L595" s="146"/>
      <c r="U595" s="179"/>
    </row>
    <row r="596" spans="2:22" outlineLevel="1">
      <c r="C596" s="138" t="s">
        <v>569</v>
      </c>
      <c r="D596" s="138"/>
      <c r="E596" s="138"/>
      <c r="F596" s="138"/>
      <c r="G596" s="131"/>
      <c r="H596" s="131"/>
      <c r="I596" s="131"/>
      <c r="J596" s="131"/>
      <c r="K596" s="131"/>
      <c r="L596" s="131"/>
      <c r="M596" s="780">
        <f t="shared" ref="M596:V596" si="92">M589</f>
        <v>179.27155831999994</v>
      </c>
      <c r="N596" s="780">
        <f t="shared" si="92"/>
        <v>287.97041367808555</v>
      </c>
      <c r="O596" s="780">
        <f t="shared" si="92"/>
        <v>160.35076818166661</v>
      </c>
      <c r="P596" s="780">
        <f t="shared" si="92"/>
        <v>109.19311208826498</v>
      </c>
      <c r="Q596" s="780">
        <f t="shared" si="92"/>
        <v>109.34684668781425</v>
      </c>
      <c r="R596" s="780">
        <f t="shared" si="92"/>
        <v>125.0557789997079</v>
      </c>
      <c r="S596" s="780">
        <f t="shared" si="92"/>
        <v>126.41700661693366</v>
      </c>
      <c r="T596" s="780">
        <f t="shared" si="92"/>
        <v>127.53366458102963</v>
      </c>
      <c r="U596" s="780">
        <f t="shared" si="92"/>
        <v>128.02690805091501</v>
      </c>
      <c r="V596" s="780">
        <f t="shared" si="92"/>
        <v>129.74621529365373</v>
      </c>
    </row>
    <row r="597" spans="2:22" ht="12.75" customHeight="1" outlineLevel="1">
      <c r="C597" s="138" t="s">
        <v>574</v>
      </c>
      <c r="D597" s="139"/>
      <c r="E597" s="139"/>
      <c r="F597" s="139"/>
      <c r="G597" s="131"/>
      <c r="H597" s="131"/>
      <c r="I597" s="131"/>
      <c r="J597" s="131"/>
      <c r="K597" s="131"/>
      <c r="L597" s="131"/>
      <c r="M597" s="779">
        <v>4.5999999999999996</v>
      </c>
      <c r="N597" s="779">
        <v>2.8</v>
      </c>
      <c r="O597" s="779">
        <v>0.4</v>
      </c>
      <c r="P597" s="779">
        <v>0.2</v>
      </c>
      <c r="Q597" s="779">
        <v>0</v>
      </c>
      <c r="R597" s="779">
        <v>0</v>
      </c>
      <c r="S597" s="779">
        <v>0</v>
      </c>
      <c r="T597" s="779">
        <v>0</v>
      </c>
      <c r="U597" s="779">
        <v>0</v>
      </c>
      <c r="V597" s="779">
        <v>0</v>
      </c>
    </row>
    <row r="598" spans="2:22" ht="12.75" customHeight="1" outlineLevel="1">
      <c r="C598" s="138" t="s">
        <v>575</v>
      </c>
      <c r="D598" s="139"/>
      <c r="E598" s="139"/>
      <c r="F598" s="139"/>
      <c r="G598" s="131"/>
      <c r="H598" s="131"/>
      <c r="I598" s="131"/>
      <c r="J598" s="131"/>
      <c r="K598" s="131"/>
      <c r="L598" s="131"/>
      <c r="M598" s="779">
        <v>29.331136371288338</v>
      </c>
      <c r="N598" s="779">
        <v>8.6311363712883384</v>
      </c>
      <c r="O598" s="779">
        <v>8.6311363712883384</v>
      </c>
      <c r="P598" s="779">
        <v>8.6311363712883384</v>
      </c>
      <c r="Q598" s="779">
        <v>8.6311363712883384</v>
      </c>
      <c r="R598" s="779">
        <v>8.6311363712883384</v>
      </c>
      <c r="S598" s="779">
        <v>8.6311363712883384</v>
      </c>
      <c r="T598" s="779">
        <v>8.6311363712883384</v>
      </c>
      <c r="U598" s="779">
        <v>8.6311363712883384</v>
      </c>
      <c r="V598" s="779">
        <v>8.6311363712883384</v>
      </c>
    </row>
    <row r="599" spans="2:22" ht="12.75" customHeight="1" outlineLevel="1">
      <c r="C599" s="138" t="s">
        <v>576</v>
      </c>
      <c r="D599" s="139"/>
      <c r="E599" s="139"/>
      <c r="F599" s="139"/>
      <c r="G599" s="131"/>
      <c r="H599" s="131"/>
      <c r="I599" s="131"/>
      <c r="J599" s="131"/>
      <c r="K599" s="131"/>
      <c r="L599" s="131"/>
      <c r="M599" s="779">
        <v>0</v>
      </c>
      <c r="N599" s="779">
        <v>0</v>
      </c>
      <c r="O599" s="779">
        <v>0</v>
      </c>
      <c r="P599" s="779">
        <v>0</v>
      </c>
      <c r="Q599" s="779">
        <v>0</v>
      </c>
      <c r="R599" s="779">
        <v>0</v>
      </c>
      <c r="S599" s="779">
        <v>0</v>
      </c>
      <c r="T599" s="779">
        <v>0</v>
      </c>
      <c r="U599" s="779">
        <v>0</v>
      </c>
      <c r="V599" s="779">
        <v>0</v>
      </c>
    </row>
    <row r="600" spans="2:22" ht="12.75" customHeight="1" outlineLevel="1">
      <c r="C600" s="138" t="s">
        <v>577</v>
      </c>
      <c r="D600" s="139"/>
      <c r="E600" s="139"/>
      <c r="F600" s="139"/>
      <c r="G600" s="131"/>
      <c r="H600" s="131"/>
      <c r="I600" s="131"/>
      <c r="J600" s="131"/>
      <c r="K600" s="131"/>
      <c r="L600" s="131"/>
      <c r="M600" s="779">
        <v>0</v>
      </c>
      <c r="N600" s="779">
        <v>0</v>
      </c>
      <c r="O600" s="779">
        <v>0</v>
      </c>
      <c r="P600" s="779">
        <v>0</v>
      </c>
      <c r="Q600" s="779">
        <v>0</v>
      </c>
      <c r="R600" s="779">
        <v>0</v>
      </c>
      <c r="S600" s="779">
        <v>0</v>
      </c>
      <c r="T600" s="779">
        <v>0</v>
      </c>
      <c r="U600" s="779">
        <v>0</v>
      </c>
      <c r="V600" s="779">
        <v>0</v>
      </c>
    </row>
    <row r="601" spans="2:22" ht="12.75" customHeight="1" outlineLevel="1">
      <c r="C601" s="138" t="s">
        <v>578</v>
      </c>
      <c r="D601" s="139"/>
      <c r="E601" s="139"/>
      <c r="F601" s="139"/>
      <c r="G601" s="131"/>
      <c r="H601" s="131"/>
      <c r="I601" s="131"/>
      <c r="J601" s="131"/>
      <c r="K601" s="131"/>
      <c r="L601" s="131"/>
      <c r="M601" s="779">
        <v>-2</v>
      </c>
      <c r="N601" s="779">
        <v>-1.481240269687629</v>
      </c>
      <c r="O601" s="779">
        <v>-1.48529846220732</v>
      </c>
      <c r="P601" s="779">
        <v>-1.3915518439053887</v>
      </c>
      <c r="Q601" s="779">
        <v>-1.0610712504061937</v>
      </c>
      <c r="R601" s="779">
        <v>-1.0266353039721248</v>
      </c>
      <c r="S601" s="779">
        <v>-0.92093740435672067</v>
      </c>
      <c r="T601" s="779">
        <v>-1.2586810670994051</v>
      </c>
      <c r="U601" s="779">
        <v>-1.4953747300580655</v>
      </c>
      <c r="V601" s="779">
        <v>-1.8502070310484371</v>
      </c>
    </row>
    <row r="602" spans="2:22" ht="12.75" customHeight="1" outlineLevel="1">
      <c r="C602" s="138" t="s">
        <v>579</v>
      </c>
      <c r="D602" s="139"/>
      <c r="E602" s="139"/>
      <c r="F602" s="139"/>
      <c r="G602" s="131"/>
      <c r="H602" s="131"/>
      <c r="I602" s="131"/>
      <c r="J602" s="131"/>
      <c r="K602" s="131"/>
      <c r="L602" s="131"/>
      <c r="M602" s="779">
        <v>2.0000000400000002</v>
      </c>
      <c r="N602" s="779">
        <v>2.0000000400000002</v>
      </c>
      <c r="O602" s="779">
        <v>2.0000000400000002</v>
      </c>
      <c r="P602" s="779">
        <v>2.0000000400000002</v>
      </c>
      <c r="Q602" s="779">
        <v>2.0000000400000002</v>
      </c>
      <c r="R602" s="779">
        <v>2.0000000400000002</v>
      </c>
      <c r="S602" s="779">
        <v>2.0000000400000002</v>
      </c>
      <c r="T602" s="779">
        <v>2.0000000400000002</v>
      </c>
      <c r="U602" s="779">
        <v>2.0000000400000002</v>
      </c>
      <c r="V602" s="779">
        <v>2.0000000400000002</v>
      </c>
    </row>
    <row r="603" spans="2:22" ht="12.75" customHeight="1" outlineLevel="1">
      <c r="C603" s="138" t="s">
        <v>580</v>
      </c>
      <c r="D603" s="139"/>
      <c r="E603" s="139"/>
      <c r="F603" s="139"/>
      <c r="G603" s="131"/>
      <c r="H603" s="131"/>
      <c r="I603" s="131"/>
      <c r="J603" s="131"/>
      <c r="K603" s="131"/>
      <c r="L603" s="131"/>
      <c r="M603" s="779">
        <v>0</v>
      </c>
      <c r="N603" s="779">
        <v>0</v>
      </c>
      <c r="O603" s="779">
        <v>0</v>
      </c>
      <c r="P603" s="779">
        <v>0</v>
      </c>
      <c r="Q603" s="779">
        <v>0</v>
      </c>
      <c r="R603" s="779">
        <v>0</v>
      </c>
      <c r="S603" s="779">
        <v>0</v>
      </c>
      <c r="T603" s="779">
        <v>0</v>
      </c>
      <c r="U603" s="779">
        <v>0</v>
      </c>
      <c r="V603" s="779">
        <v>0</v>
      </c>
    </row>
    <row r="604" spans="2:22" ht="12.75" customHeight="1" outlineLevel="1">
      <c r="C604" s="138" t="s">
        <v>581</v>
      </c>
      <c r="D604" s="139"/>
      <c r="E604" s="139"/>
      <c r="F604" s="139"/>
      <c r="G604" s="131"/>
      <c r="H604" s="131"/>
      <c r="I604" s="131"/>
      <c r="J604" s="131"/>
      <c r="K604" s="131"/>
      <c r="L604" s="131"/>
      <c r="M604" s="779">
        <v>-0.34048208000000002</v>
      </c>
      <c r="N604" s="779">
        <v>-0.34048208000000002</v>
      </c>
      <c r="O604" s="779">
        <v>-0.34048208000000002</v>
      </c>
      <c r="P604" s="779">
        <v>-0.34048208000000002</v>
      </c>
      <c r="Q604" s="779">
        <v>-0.34048208000000002</v>
      </c>
      <c r="R604" s="779">
        <v>-0.34048208000000002</v>
      </c>
      <c r="S604" s="779">
        <v>-0.34048208000000002</v>
      </c>
      <c r="T604" s="779">
        <v>-0.34048208000000002</v>
      </c>
      <c r="U604" s="779">
        <v>-0.34048208000000002</v>
      </c>
      <c r="V604" s="779">
        <v>-0.34048208000000002</v>
      </c>
    </row>
    <row r="605" spans="2:22" outlineLevel="1">
      <c r="C605" s="277" t="s">
        <v>1134</v>
      </c>
      <c r="D605" s="281"/>
      <c r="E605" s="140"/>
      <c r="F605" s="140"/>
      <c r="G605" s="131"/>
      <c r="H605" s="131"/>
      <c r="I605" s="131"/>
      <c r="J605" s="131"/>
      <c r="K605" s="131"/>
      <c r="L605" s="131"/>
      <c r="M605" s="779">
        <v>0</v>
      </c>
      <c r="N605" s="779">
        <v>0</v>
      </c>
      <c r="O605" s="779">
        <v>0</v>
      </c>
      <c r="P605" s="779">
        <v>0</v>
      </c>
      <c r="Q605" s="779">
        <v>0</v>
      </c>
      <c r="R605" s="779">
        <v>0</v>
      </c>
      <c r="S605" s="779">
        <v>0</v>
      </c>
      <c r="T605" s="779">
        <v>0</v>
      </c>
      <c r="U605" s="779">
        <v>0</v>
      </c>
      <c r="V605" s="779">
        <v>0</v>
      </c>
    </row>
    <row r="606" spans="2:22" outlineLevel="1">
      <c r="C606" s="277" t="s">
        <v>1135</v>
      </c>
      <c r="D606" s="281"/>
      <c r="E606" s="140"/>
      <c r="F606" s="140"/>
      <c r="G606" s="131"/>
      <c r="H606" s="131"/>
      <c r="I606" s="131"/>
      <c r="J606" s="131"/>
      <c r="K606" s="131"/>
      <c r="L606" s="131"/>
      <c r="M606" s="779">
        <v>6.092014474355075</v>
      </c>
      <c r="N606" s="779">
        <v>6.092014474355075</v>
      </c>
      <c r="O606" s="779">
        <v>6.092014474355075</v>
      </c>
      <c r="P606" s="779">
        <v>6.092014474355075</v>
      </c>
      <c r="Q606" s="779">
        <v>6.092014474355075</v>
      </c>
      <c r="R606" s="779">
        <v>6.092014474355075</v>
      </c>
      <c r="S606" s="779">
        <v>6.092014474355075</v>
      </c>
      <c r="T606" s="779">
        <v>6.092014474355075</v>
      </c>
      <c r="U606" s="779">
        <v>6.092014474355075</v>
      </c>
      <c r="V606" s="779">
        <v>6.092014474355075</v>
      </c>
    </row>
    <row r="607" spans="2:22" outlineLevel="1">
      <c r="C607" s="277" t="s">
        <v>1136</v>
      </c>
      <c r="D607" s="281"/>
      <c r="E607" s="140"/>
      <c r="F607" s="140"/>
      <c r="G607" s="131"/>
      <c r="H607" s="131"/>
      <c r="I607" s="131"/>
      <c r="J607" s="131"/>
      <c r="K607" s="131"/>
      <c r="L607" s="131"/>
      <c r="M607" s="779">
        <v>4.0408363538936545</v>
      </c>
      <c r="N607" s="779">
        <v>4.0408363538936545</v>
      </c>
      <c r="O607" s="779">
        <v>4.0408363538936545</v>
      </c>
      <c r="P607" s="779">
        <v>4.0408363538936545</v>
      </c>
      <c r="Q607" s="779">
        <v>4.0408363538936545</v>
      </c>
      <c r="R607" s="779">
        <v>4.0408363538936545</v>
      </c>
      <c r="S607" s="779">
        <v>4.0408363538936545</v>
      </c>
      <c r="T607" s="779">
        <v>4.0408363538936545</v>
      </c>
      <c r="U607" s="779">
        <v>4.0408363538936545</v>
      </c>
      <c r="V607" s="779">
        <v>4.0408363538936545</v>
      </c>
    </row>
    <row r="608" spans="2:22" outlineLevel="1">
      <c r="C608" s="277" t="s">
        <v>1137</v>
      </c>
      <c r="D608" s="281"/>
      <c r="E608" s="140"/>
      <c r="F608" s="140"/>
      <c r="G608" s="131"/>
      <c r="H608" s="131"/>
      <c r="I608" s="131"/>
      <c r="J608" s="131"/>
      <c r="K608" s="131"/>
      <c r="L608" s="131"/>
      <c r="M608" s="779">
        <v>16.460697490000001</v>
      </c>
      <c r="N608" s="779">
        <v>16.460697490000001</v>
      </c>
      <c r="O608" s="779">
        <v>16.460697490000001</v>
      </c>
      <c r="P608" s="779">
        <v>16.460697490000001</v>
      </c>
      <c r="Q608" s="779">
        <v>16.460697490000001</v>
      </c>
      <c r="R608" s="779">
        <v>16.460697490000001</v>
      </c>
      <c r="S608" s="779">
        <v>16.460697490000001</v>
      </c>
      <c r="T608" s="779">
        <v>16.460697490000001</v>
      </c>
      <c r="U608" s="779">
        <v>16.460697490000001</v>
      </c>
      <c r="V608" s="779">
        <v>16.460697490000001</v>
      </c>
    </row>
    <row r="609" spans="3:22" outlineLevel="1">
      <c r="C609" s="277" t="s">
        <v>1138</v>
      </c>
      <c r="D609" s="281"/>
      <c r="E609" s="140"/>
      <c r="F609" s="140"/>
      <c r="G609" s="131"/>
      <c r="H609" s="131"/>
      <c r="I609" s="131"/>
      <c r="J609" s="131"/>
      <c r="K609" s="131"/>
      <c r="L609" s="131"/>
      <c r="M609" s="779">
        <v>-0.99296105000000001</v>
      </c>
      <c r="N609" s="779">
        <v>-0.99296105000000001</v>
      </c>
      <c r="O609" s="779">
        <v>-0.99296105000000001</v>
      </c>
      <c r="P609" s="779">
        <v>-0.99296105000000001</v>
      </c>
      <c r="Q609" s="779">
        <v>-0.99296105000000001</v>
      </c>
      <c r="R609" s="779">
        <v>-0.99296105000000001</v>
      </c>
      <c r="S609" s="779">
        <v>-0.99296105000000001</v>
      </c>
      <c r="T609" s="779">
        <v>-0.99296105000000001</v>
      </c>
      <c r="U609" s="779">
        <v>-0.99296105000000001</v>
      </c>
      <c r="V609" s="779">
        <v>-0.99296105000000001</v>
      </c>
    </row>
    <row r="610" spans="3:22" outlineLevel="1">
      <c r="C610" s="277" t="s">
        <v>1139</v>
      </c>
      <c r="D610" s="281"/>
      <c r="E610" s="140"/>
      <c r="F610" s="140"/>
      <c r="G610" s="131"/>
      <c r="H610" s="131"/>
      <c r="I610" s="131"/>
      <c r="J610" s="131"/>
      <c r="K610" s="131"/>
      <c r="L610" s="131"/>
      <c r="M610" s="779">
        <v>0</v>
      </c>
      <c r="N610" s="779">
        <v>0</v>
      </c>
      <c r="O610" s="779">
        <v>0</v>
      </c>
      <c r="P610" s="779">
        <v>0</v>
      </c>
      <c r="Q610" s="779">
        <v>0</v>
      </c>
      <c r="R610" s="779">
        <v>0</v>
      </c>
      <c r="S610" s="779">
        <v>0</v>
      </c>
      <c r="T610" s="779">
        <v>0</v>
      </c>
      <c r="U610" s="779">
        <v>0</v>
      </c>
      <c r="V610" s="779">
        <v>0</v>
      </c>
    </row>
    <row r="611" spans="3:22" outlineLevel="1">
      <c r="C611" s="277" t="s">
        <v>1060</v>
      </c>
      <c r="D611" s="281"/>
      <c r="E611" s="140"/>
      <c r="F611" s="140"/>
      <c r="G611" s="131"/>
      <c r="H611" s="131"/>
      <c r="I611" s="131"/>
      <c r="J611" s="131"/>
      <c r="K611" s="131"/>
      <c r="L611" s="131"/>
      <c r="M611" s="779">
        <v>45.793502945338702</v>
      </c>
      <c r="N611" s="779">
        <v>45.793502945338702</v>
      </c>
      <c r="O611" s="779">
        <v>45.793502945338702</v>
      </c>
      <c r="P611" s="779">
        <v>45.793502945338702</v>
      </c>
      <c r="Q611" s="779">
        <v>45.793502945338702</v>
      </c>
      <c r="R611" s="779">
        <v>45.793502945338702</v>
      </c>
      <c r="S611" s="779">
        <v>45.793502945338702</v>
      </c>
      <c r="T611" s="779">
        <v>45.793502945338702</v>
      </c>
      <c r="U611" s="779">
        <v>45.793502945338702</v>
      </c>
      <c r="V611" s="779">
        <v>45.793502945338702</v>
      </c>
    </row>
    <row r="612" spans="3:22" outlineLevel="1">
      <c r="C612" s="277" t="s">
        <v>1140</v>
      </c>
      <c r="D612" s="281"/>
      <c r="E612" s="140"/>
      <c r="F612" s="140"/>
      <c r="G612" s="131"/>
      <c r="H612" s="131"/>
      <c r="I612" s="131"/>
      <c r="J612" s="131"/>
      <c r="K612" s="131"/>
      <c r="L612" s="131"/>
      <c r="M612" s="779">
        <v>-0.2</v>
      </c>
      <c r="N612" s="779">
        <v>-0.2</v>
      </c>
      <c r="O612" s="779">
        <v>-0.2</v>
      </c>
      <c r="P612" s="779">
        <v>-0.2</v>
      </c>
      <c r="Q612" s="779">
        <v>-0.2</v>
      </c>
      <c r="R612" s="779">
        <v>-0.2</v>
      </c>
      <c r="S612" s="779">
        <v>-0.2</v>
      </c>
      <c r="T612" s="779">
        <v>-0.2</v>
      </c>
      <c r="U612" s="779">
        <v>-0.2</v>
      </c>
      <c r="V612" s="779">
        <v>-0.2</v>
      </c>
    </row>
    <row r="613" spans="3:22" outlineLevel="1">
      <c r="C613" s="277" t="s">
        <v>582</v>
      </c>
      <c r="D613" s="281"/>
      <c r="E613" s="140"/>
      <c r="F613" s="140"/>
      <c r="G613" s="131"/>
      <c r="H613" s="131"/>
      <c r="I613" s="131"/>
      <c r="J613" s="131"/>
      <c r="K613" s="131"/>
      <c r="L613" s="131"/>
      <c r="M613" s="779">
        <v>0</v>
      </c>
      <c r="N613" s="779">
        <v>0</v>
      </c>
      <c r="O613" s="779">
        <v>0</v>
      </c>
      <c r="P613" s="779">
        <v>0</v>
      </c>
      <c r="Q613" s="779">
        <v>0</v>
      </c>
      <c r="R613" s="779">
        <v>0</v>
      </c>
      <c r="S613" s="779">
        <v>0</v>
      </c>
      <c r="T613" s="779">
        <v>0</v>
      </c>
      <c r="U613" s="779">
        <v>0</v>
      </c>
      <c r="V613" s="779">
        <v>0</v>
      </c>
    </row>
    <row r="614" spans="3:22" ht="12.75" customHeight="1" outlineLevel="1">
      <c r="C614" s="224" t="s">
        <v>275</v>
      </c>
      <c r="D614" s="141"/>
      <c r="E614" s="141"/>
      <c r="F614" s="141"/>
      <c r="G614" s="131"/>
      <c r="H614" s="131"/>
      <c r="I614" s="131"/>
      <c r="J614" s="131"/>
      <c r="K614" s="131"/>
      <c r="L614" s="131"/>
      <c r="M614" s="780">
        <f>SUM(M596:M613)</f>
        <v>284.05630286487576</v>
      </c>
      <c r="N614" s="780">
        <f t="shared" ref="N614:V614" si="93">SUM(N596:N613)</f>
        <v>370.77391795327372</v>
      </c>
      <c r="O614" s="780">
        <f t="shared" si="93"/>
        <v>240.75021426433511</v>
      </c>
      <c r="P614" s="780">
        <f t="shared" si="93"/>
        <v>189.48630478923539</v>
      </c>
      <c r="Q614" s="780">
        <f t="shared" si="93"/>
        <v>189.77051998228387</v>
      </c>
      <c r="R614" s="780">
        <f t="shared" si="93"/>
        <v>205.51388824061161</v>
      </c>
      <c r="S614" s="780">
        <f t="shared" si="93"/>
        <v>206.98081375745275</v>
      </c>
      <c r="T614" s="780">
        <f t="shared" si="93"/>
        <v>207.75972805880602</v>
      </c>
      <c r="U614" s="780">
        <f t="shared" si="93"/>
        <v>208.01627786573275</v>
      </c>
      <c r="V614" s="780">
        <f t="shared" si="93"/>
        <v>209.38075280748112</v>
      </c>
    </row>
    <row r="615" spans="3:22" outlineLevel="1">
      <c r="C615" s="151"/>
      <c r="D615" s="152"/>
      <c r="E615" s="152"/>
      <c r="F615" s="152"/>
      <c r="G615" s="143"/>
      <c r="H615" s="143"/>
      <c r="I615" s="143"/>
      <c r="J615" s="143"/>
      <c r="K615" s="143"/>
      <c r="L615" s="143"/>
      <c r="U615" s="179"/>
    </row>
    <row r="616" spans="3:22" outlineLevel="1">
      <c r="C616" s="138" t="s">
        <v>583</v>
      </c>
      <c r="D616" s="138"/>
      <c r="E616" s="138"/>
      <c r="F616" s="138"/>
      <c r="M616" s="780">
        <f>-M603</f>
        <v>0</v>
      </c>
      <c r="N616" s="780">
        <f t="shared" ref="N616:V616" si="94">-N603</f>
        <v>0</v>
      </c>
      <c r="O616" s="780">
        <f t="shared" si="94"/>
        <v>0</v>
      </c>
      <c r="P616" s="780">
        <f t="shared" si="94"/>
        <v>0</v>
      </c>
      <c r="Q616" s="780">
        <f t="shared" si="94"/>
        <v>0</v>
      </c>
      <c r="R616" s="780">
        <f t="shared" si="94"/>
        <v>0</v>
      </c>
      <c r="S616" s="780">
        <f t="shared" si="94"/>
        <v>0</v>
      </c>
      <c r="T616" s="780">
        <f t="shared" si="94"/>
        <v>0</v>
      </c>
      <c r="U616" s="780">
        <f t="shared" si="94"/>
        <v>0</v>
      </c>
      <c r="V616" s="780">
        <f t="shared" si="94"/>
        <v>0</v>
      </c>
    </row>
    <row r="617" spans="3:22" ht="12.75" customHeight="1" outlineLevel="1">
      <c r="C617" s="138" t="s">
        <v>584</v>
      </c>
      <c r="D617" s="139"/>
      <c r="E617" s="139"/>
      <c r="F617" s="139"/>
      <c r="G617" s="131"/>
      <c r="H617" s="131"/>
      <c r="I617" s="131"/>
      <c r="J617" s="131"/>
      <c r="K617" s="131"/>
      <c r="L617" s="131"/>
      <c r="M617" s="779">
        <v>0</v>
      </c>
      <c r="N617" s="779">
        <v>0</v>
      </c>
      <c r="O617" s="779">
        <v>0</v>
      </c>
      <c r="P617" s="779">
        <v>0</v>
      </c>
      <c r="Q617" s="779">
        <v>0</v>
      </c>
      <c r="R617" s="779">
        <v>0</v>
      </c>
      <c r="S617" s="779">
        <v>0</v>
      </c>
      <c r="T617" s="779">
        <v>0</v>
      </c>
      <c r="U617" s="779">
        <v>0</v>
      </c>
      <c r="V617" s="779">
        <v>0</v>
      </c>
    </row>
    <row r="618" spans="3:22" outlineLevel="1">
      <c r="C618" s="138" t="s">
        <v>585</v>
      </c>
      <c r="D618" s="138"/>
      <c r="E618" s="138"/>
      <c r="F618" s="138"/>
      <c r="G618" s="131"/>
      <c r="H618" s="131"/>
      <c r="I618" s="131"/>
      <c r="J618" s="131"/>
      <c r="K618" s="131"/>
      <c r="L618" s="131"/>
      <c r="M618" s="779">
        <v>0</v>
      </c>
      <c r="N618" s="779">
        <v>0</v>
      </c>
      <c r="O618" s="779">
        <v>0</v>
      </c>
      <c r="P618" s="779">
        <v>0</v>
      </c>
      <c r="Q618" s="779">
        <v>0</v>
      </c>
      <c r="R618" s="779">
        <v>0</v>
      </c>
      <c r="S618" s="779">
        <v>0</v>
      </c>
      <c r="T618" s="779">
        <v>0</v>
      </c>
      <c r="U618" s="779">
        <v>0</v>
      </c>
      <c r="V618" s="779">
        <v>0</v>
      </c>
    </row>
    <row r="619" spans="3:22" outlineLevel="1">
      <c r="C619" s="277" t="s">
        <v>582</v>
      </c>
      <c r="D619" s="281"/>
      <c r="E619" s="281"/>
      <c r="F619" s="281"/>
      <c r="M619" s="779">
        <v>0</v>
      </c>
      <c r="N619" s="779">
        <v>0</v>
      </c>
      <c r="O619" s="779">
        <v>0</v>
      </c>
      <c r="P619" s="779">
        <v>0</v>
      </c>
      <c r="Q619" s="779">
        <v>0</v>
      </c>
      <c r="R619" s="779">
        <v>0</v>
      </c>
      <c r="S619" s="779">
        <v>0</v>
      </c>
      <c r="T619" s="779">
        <v>0</v>
      </c>
      <c r="U619" s="779">
        <v>0</v>
      </c>
      <c r="V619" s="779">
        <v>0</v>
      </c>
    </row>
    <row r="620" spans="3:22" outlineLevel="1">
      <c r="C620" s="277" t="s">
        <v>582</v>
      </c>
      <c r="D620" s="281"/>
      <c r="E620" s="281"/>
      <c r="F620" s="281"/>
      <c r="M620" s="779">
        <v>0</v>
      </c>
      <c r="N620" s="779">
        <v>0</v>
      </c>
      <c r="O620" s="779">
        <v>0</v>
      </c>
      <c r="P620" s="779">
        <v>0</v>
      </c>
      <c r="Q620" s="779">
        <v>0</v>
      </c>
      <c r="R620" s="779">
        <v>0</v>
      </c>
      <c r="S620" s="779">
        <v>0</v>
      </c>
      <c r="T620" s="779">
        <v>0</v>
      </c>
      <c r="U620" s="779">
        <v>0</v>
      </c>
      <c r="V620" s="779">
        <v>0</v>
      </c>
    </row>
    <row r="621" spans="3:22" outlineLevel="1">
      <c r="C621" s="277" t="s">
        <v>582</v>
      </c>
      <c r="D621" s="281"/>
      <c r="E621" s="281"/>
      <c r="F621" s="281"/>
      <c r="M621" s="779">
        <v>0</v>
      </c>
      <c r="N621" s="779">
        <v>0</v>
      </c>
      <c r="O621" s="779">
        <v>0</v>
      </c>
      <c r="P621" s="779">
        <v>0</v>
      </c>
      <c r="Q621" s="779">
        <v>0</v>
      </c>
      <c r="R621" s="779">
        <v>0</v>
      </c>
      <c r="S621" s="779">
        <v>0</v>
      </c>
      <c r="T621" s="779">
        <v>0</v>
      </c>
      <c r="U621" s="779">
        <v>0</v>
      </c>
      <c r="V621" s="779">
        <v>0</v>
      </c>
    </row>
    <row r="622" spans="3:22" outlineLevel="1">
      <c r="C622" s="277" t="s">
        <v>582</v>
      </c>
      <c r="D622" s="277"/>
      <c r="E622" s="277"/>
      <c r="F622" s="277"/>
      <c r="M622" s="779">
        <v>0</v>
      </c>
      <c r="N622" s="779">
        <v>0</v>
      </c>
      <c r="O622" s="779">
        <v>0</v>
      </c>
      <c r="P622" s="779">
        <v>0</v>
      </c>
      <c r="Q622" s="779">
        <v>0</v>
      </c>
      <c r="R622" s="779">
        <v>0</v>
      </c>
      <c r="S622" s="779">
        <v>0</v>
      </c>
      <c r="T622" s="779">
        <v>0</v>
      </c>
      <c r="U622" s="779">
        <v>0</v>
      </c>
      <c r="V622" s="779">
        <v>0</v>
      </c>
    </row>
    <row r="623" spans="3:22" s="264" customFormat="1" outlineLevel="1">
      <c r="C623" s="278" t="s">
        <v>372</v>
      </c>
      <c r="D623" s="279"/>
      <c r="E623" s="279"/>
      <c r="F623" s="279"/>
      <c r="M623" s="780">
        <f>SUM(M616:M622)</f>
        <v>0</v>
      </c>
      <c r="N623" s="780">
        <f t="shared" ref="N623:V623" si="95">SUM(N616:N622)</f>
        <v>0</v>
      </c>
      <c r="O623" s="780">
        <f t="shared" si="95"/>
        <v>0</v>
      </c>
      <c r="P623" s="780">
        <f t="shared" si="95"/>
        <v>0</v>
      </c>
      <c r="Q623" s="780">
        <f t="shared" si="95"/>
        <v>0</v>
      </c>
      <c r="R623" s="780">
        <f t="shared" si="95"/>
        <v>0</v>
      </c>
      <c r="S623" s="780">
        <f t="shared" si="95"/>
        <v>0</v>
      </c>
      <c r="T623" s="780">
        <f t="shared" si="95"/>
        <v>0</v>
      </c>
      <c r="U623" s="780">
        <f t="shared" si="95"/>
        <v>0</v>
      </c>
      <c r="V623" s="780">
        <f t="shared" si="95"/>
        <v>0</v>
      </c>
    </row>
    <row r="624" spans="3:22" s="264" customFormat="1" outlineLevel="1">
      <c r="C624" s="278"/>
      <c r="D624" s="279"/>
      <c r="E624" s="279"/>
      <c r="F624" s="279"/>
      <c r="M624" s="280"/>
      <c r="N624" s="280"/>
      <c r="O624" s="280"/>
      <c r="P624" s="280"/>
      <c r="Q624" s="280"/>
      <c r="R624" s="280"/>
      <c r="S624" s="280"/>
      <c r="T624" s="280"/>
      <c r="U624" s="280"/>
      <c r="V624" s="280"/>
    </row>
    <row r="625" spans="2:22" outlineLevel="1">
      <c r="C625" s="148" t="s">
        <v>586</v>
      </c>
      <c r="D625" s="146"/>
      <c r="E625" s="146"/>
      <c r="F625" s="146"/>
      <c r="G625" s="146"/>
      <c r="H625" s="146"/>
      <c r="I625" s="146"/>
      <c r="J625" s="146"/>
      <c r="K625" s="146"/>
      <c r="L625" s="146"/>
      <c r="U625" s="179"/>
    </row>
    <row r="626" spans="2:22" outlineLevel="1">
      <c r="C626" s="131" t="s">
        <v>587</v>
      </c>
      <c r="D626" s="131"/>
      <c r="E626" s="131"/>
      <c r="F626" s="131"/>
      <c r="G626" s="131"/>
      <c r="H626" s="131"/>
      <c r="I626" s="131"/>
      <c r="J626" s="131"/>
      <c r="K626" s="131"/>
      <c r="L626" s="131"/>
      <c r="M626" s="801">
        <v>0</v>
      </c>
      <c r="N626" s="801">
        <v>0</v>
      </c>
      <c r="O626" s="801">
        <v>0</v>
      </c>
      <c r="P626" s="801">
        <v>0</v>
      </c>
      <c r="Q626" s="801">
        <v>0</v>
      </c>
      <c r="R626" s="801">
        <v>0</v>
      </c>
      <c r="S626" s="801">
        <v>0</v>
      </c>
      <c r="T626" s="801">
        <v>0</v>
      </c>
      <c r="U626" s="801">
        <v>0</v>
      </c>
      <c r="V626" s="801">
        <v>0</v>
      </c>
    </row>
    <row r="627" spans="2:22" outlineLevel="1">
      <c r="C627" s="131" t="s">
        <v>572</v>
      </c>
      <c r="D627" s="131"/>
      <c r="E627" s="131"/>
      <c r="F627" s="131"/>
      <c r="G627" s="131"/>
      <c r="H627" s="131"/>
      <c r="I627" s="131"/>
      <c r="J627" s="131"/>
      <c r="K627" s="131"/>
      <c r="L627" s="131"/>
      <c r="M627" s="733">
        <f>1-M626</f>
        <v>1</v>
      </c>
      <c r="N627" s="733">
        <f t="shared" ref="N627:V627" si="96">1-N626</f>
        <v>1</v>
      </c>
      <c r="O627" s="733">
        <f t="shared" si="96"/>
        <v>1</v>
      </c>
      <c r="P627" s="733">
        <f t="shared" si="96"/>
        <v>1</v>
      </c>
      <c r="Q627" s="733">
        <f t="shared" si="96"/>
        <v>1</v>
      </c>
      <c r="R627" s="733">
        <f t="shared" si="96"/>
        <v>1</v>
      </c>
      <c r="S627" s="733">
        <f t="shared" si="96"/>
        <v>1</v>
      </c>
      <c r="T627" s="733">
        <f t="shared" si="96"/>
        <v>1</v>
      </c>
      <c r="U627" s="733">
        <f t="shared" si="96"/>
        <v>1</v>
      </c>
      <c r="V627" s="733">
        <f t="shared" si="96"/>
        <v>1</v>
      </c>
    </row>
    <row r="628" spans="2:22" outlineLevel="1">
      <c r="C628" s="151"/>
      <c r="D628" s="152"/>
      <c r="E628" s="152"/>
      <c r="F628" s="152"/>
      <c r="G628" s="143"/>
      <c r="H628" s="143"/>
      <c r="I628" s="143"/>
      <c r="J628" s="143"/>
      <c r="K628" s="143"/>
      <c r="L628" s="143"/>
      <c r="U628" s="179"/>
    </row>
    <row r="629" spans="2:22" outlineLevel="1">
      <c r="C629" s="149" t="s">
        <v>588</v>
      </c>
      <c r="D629" s="150"/>
      <c r="E629" s="150"/>
      <c r="F629" s="150"/>
      <c r="G629" s="146"/>
      <c r="H629" s="146"/>
      <c r="I629" s="146"/>
      <c r="J629" s="146"/>
      <c r="K629" s="146"/>
      <c r="L629" s="146"/>
      <c r="U629" s="179"/>
    </row>
    <row r="630" spans="2:22" ht="12.75" customHeight="1" outlineLevel="1">
      <c r="C630" s="138" t="s">
        <v>589</v>
      </c>
      <c r="D630" s="139"/>
      <c r="E630" s="139"/>
      <c r="F630" s="139"/>
      <c r="G630" s="131"/>
      <c r="H630" s="131"/>
      <c r="I630" s="131"/>
      <c r="J630" s="131"/>
      <c r="K630" s="131"/>
      <c r="L630" s="131"/>
      <c r="M630" s="734">
        <f>'R6a - Net Debt input'!T400</f>
        <v>3505.9064817518711</v>
      </c>
      <c r="N630" s="734">
        <f>'R6a - Net Debt input'!U400</f>
        <v>3357.8994383224012</v>
      </c>
      <c r="O630" s="734">
        <f>'R6a - Net Debt input'!V400</f>
        <v>3467.6360137220927</v>
      </c>
      <c r="P630" s="734">
        <f>'R6a - Net Debt input'!W400</f>
        <v>3439.7409849779028</v>
      </c>
      <c r="Q630" s="734">
        <f>'R6a - Net Debt input'!X400</f>
        <v>3489.9621082053709</v>
      </c>
      <c r="R630" s="734">
        <f>'R6a - Net Debt input'!Y400</f>
        <v>3570.7977405682759</v>
      </c>
      <c r="S630" s="734">
        <f>'R6a - Net Debt input'!Z400</f>
        <v>3625.3499159954686</v>
      </c>
      <c r="T630" s="734">
        <f>'R6a - Net Debt input'!AA400</f>
        <v>3601.4608613605765</v>
      </c>
      <c r="U630" s="734">
        <f>'R6a - Net Debt input'!AB400</f>
        <v>3631.8020757307381</v>
      </c>
      <c r="V630" s="734">
        <f>'R6a - Net Debt input'!AC400</f>
        <v>3436.6365403065029</v>
      </c>
    </row>
    <row r="631" spans="2:22" ht="12.75" customHeight="1" outlineLevel="1">
      <c r="C631" s="138" t="s">
        <v>275</v>
      </c>
      <c r="D631" s="139"/>
      <c r="E631" s="139"/>
      <c r="F631" s="139"/>
      <c r="G631" s="131"/>
      <c r="H631" s="131"/>
      <c r="I631" s="131"/>
      <c r="J631" s="131"/>
      <c r="K631" s="131"/>
      <c r="L631" s="131"/>
      <c r="M631" s="780">
        <f>M614</f>
        <v>284.05630286487576</v>
      </c>
      <c r="N631" s="780">
        <f t="shared" ref="N631:V631" si="97">N614</f>
        <v>370.77391795327372</v>
      </c>
      <c r="O631" s="780">
        <f t="shared" si="97"/>
        <v>240.75021426433511</v>
      </c>
      <c r="P631" s="780">
        <f t="shared" si="97"/>
        <v>189.48630478923539</v>
      </c>
      <c r="Q631" s="780">
        <f t="shared" si="97"/>
        <v>189.77051998228387</v>
      </c>
      <c r="R631" s="780">
        <f t="shared" si="97"/>
        <v>205.51388824061161</v>
      </c>
      <c r="S631" s="780">
        <f t="shared" si="97"/>
        <v>206.98081375745275</v>
      </c>
      <c r="T631" s="780">
        <f t="shared" si="97"/>
        <v>207.75972805880602</v>
      </c>
      <c r="U631" s="780">
        <f t="shared" si="97"/>
        <v>208.01627786573275</v>
      </c>
      <c r="V631" s="780">
        <f t="shared" si="97"/>
        <v>209.38075280748112</v>
      </c>
    </row>
    <row r="632" spans="2:22">
      <c r="C632" s="143"/>
      <c r="D632" s="143"/>
      <c r="E632" s="143"/>
      <c r="F632" s="143"/>
      <c r="G632" s="143"/>
      <c r="H632" s="143"/>
      <c r="I632" s="143"/>
      <c r="J632" s="143"/>
      <c r="K632" s="143"/>
      <c r="L632" s="143"/>
      <c r="U632" s="179"/>
    </row>
    <row r="633" spans="2:22">
      <c r="U633" s="179"/>
    </row>
    <row r="634" spans="2:22" ht="15">
      <c r="B634" s="159" t="s">
        <v>590</v>
      </c>
      <c r="C634" s="155"/>
      <c r="D634" s="155"/>
      <c r="E634" s="155"/>
      <c r="F634" s="155"/>
      <c r="G634" s="155"/>
      <c r="H634" s="155"/>
      <c r="I634" s="155"/>
      <c r="J634" s="155"/>
      <c r="K634" s="155"/>
      <c r="L634" s="155"/>
      <c r="M634" s="155"/>
      <c r="N634" s="155"/>
      <c r="O634" s="155"/>
      <c r="P634" s="155"/>
      <c r="Q634" s="155"/>
      <c r="R634" s="155"/>
      <c r="S634" s="155"/>
      <c r="T634" s="155"/>
      <c r="U634" s="188"/>
      <c r="V634" s="155"/>
    </row>
    <row r="635" spans="2:22" outlineLevel="1">
      <c r="B635" s="106" t="s">
        <v>591</v>
      </c>
      <c r="U635" s="179"/>
    </row>
    <row r="636" spans="2:22" outlineLevel="1">
      <c r="C636" s="145" t="s">
        <v>592</v>
      </c>
      <c r="D636" s="146"/>
      <c r="E636" s="145"/>
      <c r="F636" s="147"/>
      <c r="G636" s="146"/>
      <c r="H636" s="146"/>
      <c r="I636" s="146"/>
      <c r="J636" s="146"/>
      <c r="K636" s="146"/>
      <c r="L636" s="146"/>
      <c r="M636" s="107"/>
      <c r="N636" s="107"/>
      <c r="O636" s="107"/>
      <c r="P636" s="107"/>
      <c r="Q636" s="107"/>
      <c r="R636" s="107"/>
      <c r="S636" s="107"/>
      <c r="T636" s="107"/>
      <c r="U636" s="189"/>
      <c r="V636" s="107"/>
    </row>
    <row r="637" spans="2:22" outlineLevel="1">
      <c r="C637" s="133" t="s">
        <v>539</v>
      </c>
      <c r="D637" s="131"/>
      <c r="E637" s="134"/>
      <c r="F637" s="131"/>
      <c r="G637" s="131"/>
      <c r="H637" s="131"/>
      <c r="I637" s="131"/>
      <c r="J637" s="131"/>
      <c r="K637" s="131"/>
      <c r="L637" s="131"/>
      <c r="M637" s="779">
        <v>0</v>
      </c>
      <c r="N637" s="779">
        <v>0</v>
      </c>
      <c r="O637" s="779">
        <v>0</v>
      </c>
      <c r="P637" s="779">
        <v>0</v>
      </c>
      <c r="Q637" s="779">
        <v>0</v>
      </c>
      <c r="R637" s="779">
        <v>0</v>
      </c>
      <c r="S637" s="779">
        <v>0</v>
      </c>
      <c r="T637" s="779">
        <v>0</v>
      </c>
      <c r="U637" s="779">
        <v>0</v>
      </c>
      <c r="V637" s="779">
        <v>0</v>
      </c>
    </row>
    <row r="638" spans="2:22" outlineLevel="1">
      <c r="C638" s="133" t="s">
        <v>540</v>
      </c>
      <c r="D638" s="131"/>
      <c r="E638" s="134"/>
      <c r="F638" s="134"/>
      <c r="G638" s="131"/>
      <c r="H638" s="131"/>
      <c r="I638" s="131"/>
      <c r="J638" s="131"/>
      <c r="K638" s="131"/>
      <c r="L638" s="131"/>
      <c r="M638" s="779">
        <v>0</v>
      </c>
      <c r="N638" s="779">
        <v>0</v>
      </c>
      <c r="O638" s="779">
        <v>0</v>
      </c>
      <c r="P638" s="779">
        <v>0</v>
      </c>
      <c r="Q638" s="779">
        <v>0</v>
      </c>
      <c r="R638" s="779">
        <v>0</v>
      </c>
      <c r="S638" s="779">
        <v>0</v>
      </c>
      <c r="T638" s="779">
        <v>0</v>
      </c>
      <c r="U638" s="779">
        <v>0</v>
      </c>
      <c r="V638" s="779">
        <v>0</v>
      </c>
    </row>
    <row r="639" spans="2:22" outlineLevel="1">
      <c r="B639" s="98" t="s">
        <v>393</v>
      </c>
      <c r="C639" s="131" t="s">
        <v>395</v>
      </c>
      <c r="D639" s="131"/>
      <c r="E639" s="134"/>
      <c r="F639" s="134"/>
      <c r="G639" s="131"/>
      <c r="H639" s="131"/>
      <c r="I639" s="131"/>
      <c r="J639" s="131"/>
      <c r="K639" s="131"/>
      <c r="L639" s="131"/>
      <c r="M639" s="780">
        <f t="shared" ref="M639:V639" si="98">M93</f>
        <v>89.699999999999989</v>
      </c>
      <c r="N639" s="780">
        <f t="shared" si="98"/>
        <v>90.185405930029034</v>
      </c>
      <c r="O639" s="780">
        <f t="shared" si="98"/>
        <v>76.229273762548459</v>
      </c>
      <c r="P639" s="780">
        <f t="shared" si="98"/>
        <v>75.593954050382891</v>
      </c>
      <c r="Q639" s="780">
        <f t="shared" si="98"/>
        <v>71.612681509305645</v>
      </c>
      <c r="R639" s="780">
        <f t="shared" si="98"/>
        <v>72.654306857884805</v>
      </c>
      <c r="S639" s="780">
        <f t="shared" si="98"/>
        <v>73.864816336221352</v>
      </c>
      <c r="T639" s="780">
        <f t="shared" si="98"/>
        <v>73.036440746308003</v>
      </c>
      <c r="U639" s="780">
        <f t="shared" si="98"/>
        <v>69.012105296097261</v>
      </c>
      <c r="V639" s="780">
        <f t="shared" si="98"/>
        <v>67.922334032280176</v>
      </c>
    </row>
    <row r="640" spans="2:22" outlineLevel="1">
      <c r="B640" s="98" t="s">
        <v>393</v>
      </c>
      <c r="C640" s="133" t="s">
        <v>541</v>
      </c>
      <c r="D640" s="131"/>
      <c r="E640" s="134"/>
      <c r="F640" s="134"/>
      <c r="G640" s="131"/>
      <c r="H640" s="131"/>
      <c r="I640" s="131"/>
      <c r="J640" s="131"/>
      <c r="K640" s="131"/>
      <c r="L640" s="131"/>
      <c r="M640" s="780">
        <f t="shared" ref="M640:V640" si="99">M137</f>
        <v>11.1</v>
      </c>
      <c r="N640" s="780">
        <f t="shared" si="99"/>
        <v>0.54098360655737709</v>
      </c>
      <c r="O640" s="780">
        <f t="shared" si="99"/>
        <v>0</v>
      </c>
      <c r="P640" s="780">
        <f t="shared" si="99"/>
        <v>0</v>
      </c>
      <c r="Q640" s="780">
        <f t="shared" si="99"/>
        <v>0</v>
      </c>
      <c r="R640" s="780">
        <f t="shared" si="99"/>
        <v>0</v>
      </c>
      <c r="S640" s="780">
        <f t="shared" si="99"/>
        <v>0</v>
      </c>
      <c r="T640" s="780">
        <f t="shared" si="99"/>
        <v>0</v>
      </c>
      <c r="U640" s="780">
        <f t="shared" si="99"/>
        <v>0</v>
      </c>
      <c r="V640" s="780">
        <f t="shared" si="99"/>
        <v>0</v>
      </c>
    </row>
    <row r="641" spans="2:22" outlineLevel="1">
      <c r="B641" s="98" t="s">
        <v>421</v>
      </c>
      <c r="C641" s="133" t="s">
        <v>542</v>
      </c>
      <c r="D641" s="131"/>
      <c r="E641" s="134"/>
      <c r="F641" s="134"/>
      <c r="G641" s="131"/>
      <c r="H641" s="131"/>
      <c r="I641" s="131"/>
      <c r="J641" s="131"/>
      <c r="K641" s="131"/>
      <c r="L641" s="131"/>
      <c r="M641" s="780">
        <f t="shared" ref="M641:V641" si="100">M170</f>
        <v>0</v>
      </c>
      <c r="N641" s="780">
        <f t="shared" si="100"/>
        <v>0</v>
      </c>
      <c r="O641" s="780">
        <f t="shared" si="100"/>
        <v>0</v>
      </c>
      <c r="P641" s="780">
        <f t="shared" si="100"/>
        <v>0</v>
      </c>
      <c r="Q641" s="780">
        <f t="shared" si="100"/>
        <v>0</v>
      </c>
      <c r="R641" s="780">
        <f t="shared" si="100"/>
        <v>0</v>
      </c>
      <c r="S641" s="780">
        <f t="shared" si="100"/>
        <v>0</v>
      </c>
      <c r="T641" s="780">
        <f t="shared" si="100"/>
        <v>0</v>
      </c>
      <c r="U641" s="780">
        <f t="shared" si="100"/>
        <v>0</v>
      </c>
      <c r="V641" s="780">
        <f t="shared" si="100"/>
        <v>0</v>
      </c>
    </row>
    <row r="642" spans="2:22" outlineLevel="1">
      <c r="B642" s="98" t="s">
        <v>543</v>
      </c>
      <c r="C642" s="133" t="s">
        <v>593</v>
      </c>
      <c r="D642" s="131"/>
      <c r="E642" s="134"/>
      <c r="F642" s="134"/>
      <c r="G642" s="131"/>
      <c r="H642" s="131"/>
      <c r="I642" s="131"/>
      <c r="J642" s="131"/>
      <c r="K642" s="131"/>
      <c r="L642" s="131"/>
      <c r="M642" s="780">
        <f t="shared" ref="M642:V642" si="101">SUM(M320,M406,M429,M453,M477,M518,M540)</f>
        <v>-10.6</v>
      </c>
      <c r="N642" s="780">
        <f t="shared" si="101"/>
        <v>-3.5391964999999996</v>
      </c>
      <c r="O642" s="780">
        <f t="shared" si="101"/>
        <v>-1.0388841699999998</v>
      </c>
      <c r="P642" s="780">
        <f t="shared" si="101"/>
        <v>-2.0139920100000004</v>
      </c>
      <c r="Q642" s="780">
        <f t="shared" si="101"/>
        <v>-2.3901314</v>
      </c>
      <c r="R642" s="780">
        <f t="shared" si="101"/>
        <v>-2.6703172199999998</v>
      </c>
      <c r="S642" s="780">
        <f t="shared" si="101"/>
        <v>-2.94305123</v>
      </c>
      <c r="T642" s="780">
        <f t="shared" si="101"/>
        <v>-2.9475608899999997</v>
      </c>
      <c r="U642" s="780">
        <f t="shared" si="101"/>
        <v>-0.55219378999999991</v>
      </c>
      <c r="V642" s="780">
        <f t="shared" si="101"/>
        <v>0.1790443699999999</v>
      </c>
    </row>
    <row r="643" spans="2:22" outlineLevel="1">
      <c r="C643" s="221" t="s">
        <v>545</v>
      </c>
      <c r="D643" s="222"/>
      <c r="E643" s="223"/>
      <c r="F643" s="223"/>
      <c r="G643" s="131"/>
      <c r="H643" s="131"/>
      <c r="I643" s="131"/>
      <c r="J643" s="131"/>
      <c r="K643" s="131"/>
      <c r="L643" s="131"/>
      <c r="M643" s="779">
        <v>0</v>
      </c>
      <c r="N643" s="779">
        <v>0</v>
      </c>
      <c r="O643" s="779">
        <v>0</v>
      </c>
      <c r="P643" s="779">
        <v>0</v>
      </c>
      <c r="Q643" s="779">
        <v>0</v>
      </c>
      <c r="R643" s="779">
        <v>0</v>
      </c>
      <c r="S643" s="779">
        <v>0</v>
      </c>
      <c r="T643" s="779">
        <v>0</v>
      </c>
      <c r="U643" s="779">
        <v>0</v>
      </c>
      <c r="V643" s="779">
        <v>0</v>
      </c>
    </row>
    <row r="644" spans="2:22" outlineLevel="1">
      <c r="C644" s="135" t="s">
        <v>594</v>
      </c>
      <c r="D644" s="131"/>
      <c r="E644" s="134"/>
      <c r="F644" s="134"/>
      <c r="G644" s="131"/>
      <c r="H644" s="131"/>
      <c r="I644" s="131"/>
      <c r="J644" s="131"/>
      <c r="K644" s="131"/>
      <c r="L644" s="131"/>
      <c r="M644" s="780">
        <f>SUM(M637:M643)</f>
        <v>90.199999999999989</v>
      </c>
      <c r="N644" s="780">
        <f t="shared" ref="N644:V644" si="102">SUM(N637:N643)</f>
        <v>87.187193036586407</v>
      </c>
      <c r="O644" s="780">
        <f t="shared" si="102"/>
        <v>75.190389592548456</v>
      </c>
      <c r="P644" s="780">
        <f t="shared" si="102"/>
        <v>73.579962040382895</v>
      </c>
      <c r="Q644" s="780">
        <f t="shared" si="102"/>
        <v>69.222550109305644</v>
      </c>
      <c r="R644" s="780">
        <f t="shared" si="102"/>
        <v>69.983989637884804</v>
      </c>
      <c r="S644" s="780">
        <f t="shared" si="102"/>
        <v>70.921765106221358</v>
      </c>
      <c r="T644" s="780">
        <f t="shared" si="102"/>
        <v>70.088879856307997</v>
      </c>
      <c r="U644" s="780">
        <f t="shared" si="102"/>
        <v>68.459911506097257</v>
      </c>
      <c r="V644" s="780">
        <f t="shared" si="102"/>
        <v>68.101378402280176</v>
      </c>
    </row>
    <row r="645" spans="2:22" outlineLevel="1">
      <c r="C645" s="133" t="s">
        <v>548</v>
      </c>
      <c r="D645" s="131"/>
      <c r="E645" s="134"/>
      <c r="F645" s="134"/>
      <c r="G645" s="131"/>
      <c r="H645" s="131"/>
      <c r="I645" s="131"/>
      <c r="J645" s="131"/>
      <c r="K645" s="131"/>
      <c r="L645" s="131"/>
      <c r="M645" s="779">
        <v>0</v>
      </c>
      <c r="N645" s="779">
        <v>0</v>
      </c>
      <c r="O645" s="779">
        <v>0</v>
      </c>
      <c r="P645" s="779">
        <v>0</v>
      </c>
      <c r="Q645" s="779">
        <v>0</v>
      </c>
      <c r="R645" s="779">
        <v>0</v>
      </c>
      <c r="S645" s="779">
        <v>0</v>
      </c>
      <c r="T645" s="779">
        <v>0</v>
      </c>
      <c r="U645" s="779">
        <v>0</v>
      </c>
      <c r="V645" s="779">
        <v>0</v>
      </c>
    </row>
    <row r="646" spans="2:22" outlineLevel="1">
      <c r="C646" s="133" t="s">
        <v>595</v>
      </c>
      <c r="D646" s="131"/>
      <c r="E646" s="134"/>
      <c r="F646" s="134"/>
      <c r="G646" s="131"/>
      <c r="H646" s="131"/>
      <c r="I646" s="131"/>
      <c r="J646" s="131"/>
      <c r="K646" s="131"/>
      <c r="L646" s="131"/>
      <c r="M646" s="779">
        <v>0</v>
      </c>
      <c r="N646" s="779">
        <v>0</v>
      </c>
      <c r="O646" s="779">
        <v>0</v>
      </c>
      <c r="P646" s="779">
        <v>0</v>
      </c>
      <c r="Q646" s="779">
        <v>0</v>
      </c>
      <c r="R646" s="779">
        <v>0</v>
      </c>
      <c r="S646" s="779">
        <v>0</v>
      </c>
      <c r="T646" s="779">
        <v>0</v>
      </c>
      <c r="U646" s="779">
        <v>0</v>
      </c>
      <c r="V646" s="779">
        <v>0</v>
      </c>
    </row>
    <row r="647" spans="2:22" outlineLevel="1">
      <c r="C647" s="133" t="s">
        <v>564</v>
      </c>
      <c r="D647" s="131"/>
      <c r="E647" s="136"/>
      <c r="F647" s="136"/>
      <c r="G647" s="131"/>
      <c r="H647" s="131"/>
      <c r="I647" s="131"/>
      <c r="J647" s="131"/>
      <c r="K647" s="131"/>
      <c r="L647" s="131"/>
      <c r="M647" s="779">
        <v>0</v>
      </c>
      <c r="N647" s="779">
        <v>0</v>
      </c>
      <c r="O647" s="779">
        <v>0</v>
      </c>
      <c r="P647" s="779">
        <v>0</v>
      </c>
      <c r="Q647" s="779">
        <v>0</v>
      </c>
      <c r="R647" s="779">
        <v>0</v>
      </c>
      <c r="S647" s="779">
        <v>0</v>
      </c>
      <c r="T647" s="779">
        <v>0</v>
      </c>
      <c r="U647" s="779">
        <v>0</v>
      </c>
      <c r="V647" s="779">
        <v>0</v>
      </c>
    </row>
    <row r="648" spans="2:22" outlineLevel="1">
      <c r="C648" s="221" t="s">
        <v>1059</v>
      </c>
      <c r="D648" s="222"/>
      <c r="E648" s="223"/>
      <c r="F648" s="223"/>
      <c r="G648" s="131"/>
      <c r="H648" s="131"/>
      <c r="I648" s="131"/>
      <c r="J648" s="131"/>
      <c r="K648" s="131"/>
      <c r="L648" s="131"/>
      <c r="M648" s="779">
        <v>2.2999999999999998</v>
      </c>
      <c r="N648" s="779">
        <v>0</v>
      </c>
      <c r="O648" s="779">
        <v>0</v>
      </c>
      <c r="P648" s="779">
        <v>0</v>
      </c>
      <c r="Q648" s="779">
        <v>0</v>
      </c>
      <c r="R648" s="779">
        <v>0</v>
      </c>
      <c r="S648" s="779">
        <v>0</v>
      </c>
      <c r="T648" s="779">
        <v>0</v>
      </c>
      <c r="U648" s="779">
        <v>0</v>
      </c>
      <c r="V648" s="779">
        <v>0</v>
      </c>
    </row>
    <row r="649" spans="2:22" outlineLevel="1">
      <c r="C649" s="135" t="s">
        <v>596</v>
      </c>
      <c r="D649" s="131"/>
      <c r="E649" s="134"/>
      <c r="F649" s="134"/>
      <c r="G649" s="131"/>
      <c r="H649" s="131"/>
      <c r="I649" s="131"/>
      <c r="J649" s="131"/>
      <c r="K649" s="131"/>
      <c r="L649" s="131"/>
      <c r="M649" s="780">
        <f>SUM(M644:M648)</f>
        <v>92.499999999999986</v>
      </c>
      <c r="N649" s="780">
        <f t="shared" ref="N649:V649" si="103">SUM(N644:N648)</f>
        <v>87.187193036586407</v>
      </c>
      <c r="O649" s="780">
        <f t="shared" si="103"/>
        <v>75.190389592548456</v>
      </c>
      <c r="P649" s="780">
        <f t="shared" si="103"/>
        <v>73.579962040382895</v>
      </c>
      <c r="Q649" s="780">
        <f t="shared" si="103"/>
        <v>69.222550109305644</v>
      </c>
      <c r="R649" s="780">
        <f t="shared" si="103"/>
        <v>69.983989637884804</v>
      </c>
      <c r="S649" s="780">
        <f t="shared" si="103"/>
        <v>70.921765106221358</v>
      </c>
      <c r="T649" s="780">
        <f t="shared" si="103"/>
        <v>70.088879856307997</v>
      </c>
      <c r="U649" s="780">
        <f t="shared" si="103"/>
        <v>68.459911506097257</v>
      </c>
      <c r="V649" s="780">
        <f t="shared" si="103"/>
        <v>68.101378402280176</v>
      </c>
    </row>
    <row r="650" spans="2:22" outlineLevel="1">
      <c r="C650" s="143"/>
      <c r="D650" s="143"/>
      <c r="E650" s="143"/>
      <c r="F650" s="143"/>
      <c r="G650" s="143"/>
      <c r="H650" s="143"/>
      <c r="I650" s="143"/>
      <c r="J650" s="143"/>
      <c r="K650" s="143"/>
      <c r="L650" s="143"/>
      <c r="M650" s="173"/>
      <c r="N650" s="173"/>
      <c r="O650" s="173"/>
      <c r="P650" s="173"/>
      <c r="Q650" s="173"/>
      <c r="R650" s="173"/>
      <c r="S650" s="173"/>
      <c r="T650" s="173"/>
      <c r="U650" s="190"/>
      <c r="V650" s="173"/>
    </row>
    <row r="651" spans="2:22" outlineLevel="1">
      <c r="M651" s="173"/>
      <c r="N651" s="173"/>
      <c r="O651" s="173"/>
      <c r="P651" s="173"/>
      <c r="Q651" s="173"/>
      <c r="R651" s="173"/>
      <c r="S651" s="173"/>
      <c r="T651" s="173"/>
      <c r="U651" s="190"/>
      <c r="V651" s="173"/>
    </row>
    <row r="652" spans="2:22" outlineLevel="1">
      <c r="C652" s="145" t="s">
        <v>597</v>
      </c>
      <c r="D652" s="146"/>
      <c r="E652" s="145"/>
      <c r="F652" s="147"/>
      <c r="G652" s="146"/>
      <c r="H652" s="146"/>
      <c r="I652" s="146"/>
      <c r="J652" s="146"/>
      <c r="K652" s="146"/>
      <c r="L652" s="146"/>
      <c r="M652" s="174"/>
      <c r="N652" s="174"/>
      <c r="O652" s="174"/>
      <c r="P652" s="174"/>
      <c r="Q652" s="174"/>
      <c r="R652" s="174"/>
      <c r="S652" s="174"/>
      <c r="T652" s="174"/>
      <c r="U652" s="191"/>
      <c r="V652" s="174"/>
    </row>
    <row r="653" spans="2:22" outlineLevel="1">
      <c r="C653" s="133" t="s">
        <v>557</v>
      </c>
      <c r="D653" s="131"/>
      <c r="E653" s="134"/>
      <c r="F653" s="134"/>
      <c r="G653" s="131"/>
      <c r="H653" s="131"/>
      <c r="I653" s="131"/>
      <c r="J653" s="131"/>
      <c r="K653" s="131"/>
      <c r="L653" s="131"/>
      <c r="M653" s="779">
        <v>0</v>
      </c>
      <c r="N653" s="779">
        <v>0</v>
      </c>
      <c r="O653" s="779">
        <v>0</v>
      </c>
      <c r="P653" s="779">
        <v>0</v>
      </c>
      <c r="Q653" s="779">
        <v>0</v>
      </c>
      <c r="R653" s="779">
        <v>0</v>
      </c>
      <c r="S653" s="779">
        <v>0</v>
      </c>
      <c r="T653" s="779">
        <v>0</v>
      </c>
      <c r="U653" s="779">
        <v>0</v>
      </c>
      <c r="V653" s="779">
        <v>0</v>
      </c>
    </row>
    <row r="654" spans="2:22" outlineLevel="1">
      <c r="C654" s="134" t="s">
        <v>558</v>
      </c>
      <c r="D654" s="131"/>
      <c r="E654" s="134"/>
      <c r="F654" s="134"/>
      <c r="G654" s="131"/>
      <c r="H654" s="131"/>
      <c r="I654" s="131"/>
      <c r="J654" s="131"/>
      <c r="K654" s="131"/>
      <c r="L654" s="131"/>
      <c r="M654" s="779">
        <v>0</v>
      </c>
      <c r="N654" s="779">
        <v>0</v>
      </c>
      <c r="O654" s="779">
        <v>0</v>
      </c>
      <c r="P654" s="779">
        <v>0</v>
      </c>
      <c r="Q654" s="779">
        <v>0</v>
      </c>
      <c r="R654" s="779">
        <v>0</v>
      </c>
      <c r="S654" s="779">
        <v>0</v>
      </c>
      <c r="T654" s="779">
        <v>0</v>
      </c>
      <c r="U654" s="779">
        <v>0</v>
      </c>
      <c r="V654" s="779">
        <v>0</v>
      </c>
    </row>
    <row r="655" spans="2:22" outlineLevel="1">
      <c r="C655" s="134" t="s">
        <v>559</v>
      </c>
      <c r="D655" s="131"/>
      <c r="E655" s="134"/>
      <c r="F655" s="134"/>
      <c r="G655" s="131"/>
      <c r="H655" s="131"/>
      <c r="I655" s="131"/>
      <c r="J655" s="131"/>
      <c r="K655" s="131"/>
      <c r="L655" s="131"/>
      <c r="M655" s="779">
        <v>0</v>
      </c>
      <c r="N655" s="779">
        <v>0</v>
      </c>
      <c r="O655" s="779">
        <v>0</v>
      </c>
      <c r="P655" s="779">
        <v>0</v>
      </c>
      <c r="Q655" s="779">
        <v>0</v>
      </c>
      <c r="R655" s="779">
        <v>0</v>
      </c>
      <c r="S655" s="779">
        <v>0</v>
      </c>
      <c r="T655" s="779">
        <v>0</v>
      </c>
      <c r="U655" s="779">
        <v>0</v>
      </c>
      <c r="V655" s="779">
        <v>0</v>
      </c>
    </row>
    <row r="656" spans="2:22" outlineLevel="1">
      <c r="B656" s="98" t="s">
        <v>432</v>
      </c>
      <c r="C656" s="133" t="s">
        <v>560</v>
      </c>
      <c r="D656" s="131"/>
      <c r="E656" s="134"/>
      <c r="F656" s="134"/>
      <c r="G656" s="131"/>
      <c r="H656" s="131"/>
      <c r="I656" s="131"/>
      <c r="J656" s="131"/>
      <c r="K656" s="131"/>
      <c r="L656" s="131"/>
      <c r="M656" s="780">
        <f t="shared" ref="M656:V656" si="104">M203</f>
        <v>-3.2748884246612935</v>
      </c>
      <c r="N656" s="780">
        <f t="shared" si="104"/>
        <v>0</v>
      </c>
      <c r="O656" s="780">
        <f t="shared" si="104"/>
        <v>0</v>
      </c>
      <c r="P656" s="780">
        <f t="shared" si="104"/>
        <v>0</v>
      </c>
      <c r="Q656" s="780">
        <f t="shared" si="104"/>
        <v>0</v>
      </c>
      <c r="R656" s="780">
        <f t="shared" si="104"/>
        <v>0</v>
      </c>
      <c r="S656" s="780">
        <f t="shared" si="104"/>
        <v>0</v>
      </c>
      <c r="T656" s="780">
        <f t="shared" si="104"/>
        <v>0</v>
      </c>
      <c r="U656" s="780">
        <f t="shared" si="104"/>
        <v>0</v>
      </c>
      <c r="V656" s="780">
        <f t="shared" si="104"/>
        <v>0</v>
      </c>
    </row>
    <row r="657" spans="2:22" outlineLevel="1">
      <c r="C657" s="135" t="s">
        <v>598</v>
      </c>
      <c r="D657" s="131"/>
      <c r="E657" s="134"/>
      <c r="F657" s="134"/>
      <c r="G657" s="131"/>
      <c r="H657" s="131"/>
      <c r="I657" s="131"/>
      <c r="J657" s="131"/>
      <c r="K657" s="131"/>
      <c r="L657" s="131"/>
      <c r="M657" s="780">
        <f t="shared" ref="M657:V657" si="105">SUM(M653:M656)</f>
        <v>-3.2748884246612935</v>
      </c>
      <c r="N657" s="780">
        <f t="shared" si="105"/>
        <v>0</v>
      </c>
      <c r="O657" s="780">
        <f t="shared" si="105"/>
        <v>0</v>
      </c>
      <c r="P657" s="780">
        <f t="shared" si="105"/>
        <v>0</v>
      </c>
      <c r="Q657" s="780">
        <f t="shared" si="105"/>
        <v>0</v>
      </c>
      <c r="R657" s="780">
        <f t="shared" si="105"/>
        <v>0</v>
      </c>
      <c r="S657" s="780">
        <f t="shared" si="105"/>
        <v>0</v>
      </c>
      <c r="T657" s="780">
        <f t="shared" si="105"/>
        <v>0</v>
      </c>
      <c r="U657" s="780">
        <f t="shared" si="105"/>
        <v>0</v>
      </c>
      <c r="V657" s="780">
        <f t="shared" si="105"/>
        <v>0</v>
      </c>
    </row>
    <row r="658" spans="2:22" outlineLevel="1">
      <c r="C658" s="133" t="s">
        <v>599</v>
      </c>
      <c r="D658" s="131"/>
      <c r="E658" s="134"/>
      <c r="F658" s="134"/>
      <c r="G658" s="131"/>
      <c r="H658" s="131"/>
      <c r="I658" s="131"/>
      <c r="J658" s="131"/>
      <c r="K658" s="131"/>
      <c r="L658" s="131"/>
      <c r="M658" s="779">
        <v>0</v>
      </c>
      <c r="N658" s="779">
        <v>0</v>
      </c>
      <c r="O658" s="779">
        <v>0</v>
      </c>
      <c r="P658" s="779">
        <v>0</v>
      </c>
      <c r="Q658" s="779">
        <v>0</v>
      </c>
      <c r="R658" s="779">
        <v>0</v>
      </c>
      <c r="S658" s="779">
        <v>0</v>
      </c>
      <c r="T658" s="779">
        <v>0</v>
      </c>
      <c r="U658" s="779">
        <v>0</v>
      </c>
      <c r="V658" s="779">
        <v>0</v>
      </c>
    </row>
    <row r="659" spans="2:22" outlineLevel="1">
      <c r="C659" s="133" t="s">
        <v>563</v>
      </c>
      <c r="D659" s="131"/>
      <c r="E659" s="134"/>
      <c r="F659" s="134"/>
      <c r="G659" s="131"/>
      <c r="H659" s="131"/>
      <c r="I659" s="131"/>
      <c r="J659" s="131"/>
      <c r="K659" s="131"/>
      <c r="L659" s="131"/>
      <c r="M659" s="779">
        <v>0</v>
      </c>
      <c r="N659" s="779">
        <v>0</v>
      </c>
      <c r="O659" s="779">
        <v>0</v>
      </c>
      <c r="P659" s="779">
        <v>0</v>
      </c>
      <c r="Q659" s="779">
        <v>0</v>
      </c>
      <c r="R659" s="779">
        <v>0</v>
      </c>
      <c r="S659" s="779">
        <v>0</v>
      </c>
      <c r="T659" s="779">
        <v>0</v>
      </c>
      <c r="U659" s="779">
        <v>0</v>
      </c>
      <c r="V659" s="779">
        <v>0</v>
      </c>
    </row>
    <row r="660" spans="2:22" outlineLevel="1">
      <c r="C660" s="133" t="s">
        <v>600</v>
      </c>
      <c r="D660" s="131"/>
      <c r="E660" s="134"/>
      <c r="F660" s="134"/>
      <c r="G660" s="131"/>
      <c r="H660" s="131"/>
      <c r="I660" s="131"/>
      <c r="J660" s="131"/>
      <c r="K660" s="131"/>
      <c r="L660" s="131"/>
      <c r="M660" s="779">
        <v>0</v>
      </c>
      <c r="N660" s="779">
        <v>0</v>
      </c>
      <c r="O660" s="779">
        <v>0</v>
      </c>
      <c r="P660" s="779">
        <v>0</v>
      </c>
      <c r="Q660" s="779">
        <v>0</v>
      </c>
      <c r="R660" s="779">
        <v>0</v>
      </c>
      <c r="S660" s="779">
        <v>0</v>
      </c>
      <c r="T660" s="779">
        <v>0</v>
      </c>
      <c r="U660" s="779">
        <v>0</v>
      </c>
      <c r="V660" s="779">
        <v>0</v>
      </c>
    </row>
    <row r="661" spans="2:22" outlineLevel="1">
      <c r="C661" s="140" t="s">
        <v>1060</v>
      </c>
      <c r="D661" s="222"/>
      <c r="E661" s="223"/>
      <c r="F661" s="223"/>
      <c r="G661" s="131"/>
      <c r="H661" s="131"/>
      <c r="I661" s="131"/>
      <c r="J661" s="131"/>
      <c r="K661" s="131"/>
      <c r="L661" s="131"/>
      <c r="M661" s="779">
        <v>-42.793502945338702</v>
      </c>
      <c r="N661" s="779">
        <v>0</v>
      </c>
      <c r="O661" s="779">
        <v>0</v>
      </c>
      <c r="P661" s="779">
        <v>0</v>
      </c>
      <c r="Q661" s="779">
        <v>0</v>
      </c>
      <c r="R661" s="779">
        <v>0</v>
      </c>
      <c r="S661" s="779">
        <v>0</v>
      </c>
      <c r="T661" s="779">
        <v>0</v>
      </c>
      <c r="U661" s="779">
        <v>0</v>
      </c>
      <c r="V661" s="779">
        <v>0</v>
      </c>
    </row>
    <row r="662" spans="2:22" outlineLevel="1">
      <c r="C662" s="135" t="s">
        <v>601</v>
      </c>
      <c r="D662" s="131"/>
      <c r="E662" s="134"/>
      <c r="F662" s="134"/>
      <c r="G662" s="131"/>
      <c r="H662" s="131"/>
      <c r="I662" s="131"/>
      <c r="J662" s="131"/>
      <c r="K662" s="131"/>
      <c r="L662" s="131"/>
      <c r="M662" s="780">
        <f t="shared" ref="M662:V662" si="106">SUM(M657:M661)</f>
        <v>-46.068391369999993</v>
      </c>
      <c r="N662" s="780">
        <f t="shared" si="106"/>
        <v>0</v>
      </c>
      <c r="O662" s="780">
        <f t="shared" si="106"/>
        <v>0</v>
      </c>
      <c r="P662" s="780">
        <f t="shared" si="106"/>
        <v>0</v>
      </c>
      <c r="Q662" s="780">
        <f t="shared" si="106"/>
        <v>0</v>
      </c>
      <c r="R662" s="780">
        <f t="shared" si="106"/>
        <v>0</v>
      </c>
      <c r="S662" s="780">
        <f t="shared" si="106"/>
        <v>0</v>
      </c>
      <c r="T662" s="780">
        <f t="shared" si="106"/>
        <v>0</v>
      </c>
      <c r="U662" s="780">
        <f t="shared" si="106"/>
        <v>0</v>
      </c>
      <c r="V662" s="780">
        <f t="shared" si="106"/>
        <v>0</v>
      </c>
    </row>
    <row r="663" spans="2:22" outlineLevel="1">
      <c r="C663" s="143"/>
      <c r="D663" s="143"/>
      <c r="E663" s="143"/>
      <c r="F663" s="143"/>
      <c r="G663" s="143"/>
      <c r="H663" s="143"/>
      <c r="I663" s="143"/>
      <c r="J663" s="143"/>
      <c r="K663" s="143"/>
      <c r="L663" s="143"/>
      <c r="M663" s="173"/>
      <c r="N663" s="173"/>
      <c r="O663" s="173"/>
      <c r="P663" s="173"/>
      <c r="Q663" s="173"/>
      <c r="R663" s="173"/>
      <c r="S663" s="173"/>
      <c r="T663" s="173"/>
      <c r="U663" s="190"/>
      <c r="V663" s="173"/>
    </row>
    <row r="664" spans="2:22" outlineLevel="1">
      <c r="C664" s="149" t="s">
        <v>602</v>
      </c>
      <c r="D664" s="150"/>
      <c r="E664" s="150"/>
      <c r="F664" s="150"/>
      <c r="G664" s="146"/>
      <c r="H664" s="146"/>
      <c r="I664" s="146"/>
      <c r="J664" s="146"/>
      <c r="K664" s="146"/>
      <c r="L664" s="147"/>
      <c r="M664" s="173"/>
      <c r="N664" s="173"/>
      <c r="O664" s="173"/>
      <c r="P664" s="173"/>
      <c r="Q664" s="173"/>
      <c r="R664" s="173"/>
      <c r="S664" s="173"/>
      <c r="T664" s="173"/>
      <c r="U664" s="190"/>
      <c r="V664" s="173"/>
    </row>
    <row r="665" spans="2:22" outlineLevel="1">
      <c r="C665" s="138" t="s">
        <v>603</v>
      </c>
      <c r="D665" s="138"/>
      <c r="E665" s="138"/>
      <c r="F665" s="138"/>
      <c r="G665" s="131"/>
      <c r="H665" s="131"/>
      <c r="I665" s="131"/>
      <c r="J665" s="131"/>
      <c r="K665" s="131"/>
      <c r="L665" s="131"/>
      <c r="M665" s="780">
        <f>M649</f>
        <v>92.499999999999986</v>
      </c>
      <c r="N665" s="780">
        <f t="shared" ref="N665:V665" si="107">N649</f>
        <v>87.187193036586407</v>
      </c>
      <c r="O665" s="780">
        <f t="shared" si="107"/>
        <v>75.190389592548456</v>
      </c>
      <c r="P665" s="780">
        <f t="shared" si="107"/>
        <v>73.579962040382895</v>
      </c>
      <c r="Q665" s="780">
        <f t="shared" si="107"/>
        <v>69.222550109305644</v>
      </c>
      <c r="R665" s="780">
        <f t="shared" si="107"/>
        <v>69.983989637884804</v>
      </c>
      <c r="S665" s="780">
        <f t="shared" si="107"/>
        <v>70.921765106221358</v>
      </c>
      <c r="T665" s="780">
        <f t="shared" si="107"/>
        <v>70.088879856307997</v>
      </c>
      <c r="U665" s="780">
        <f t="shared" si="107"/>
        <v>68.459911506097257</v>
      </c>
      <c r="V665" s="780">
        <f t="shared" si="107"/>
        <v>68.101378402280176</v>
      </c>
    </row>
    <row r="666" spans="2:22" outlineLevel="1">
      <c r="C666" s="138" t="s">
        <v>604</v>
      </c>
      <c r="D666" s="139"/>
      <c r="E666" s="139"/>
      <c r="F666" s="139"/>
      <c r="G666" s="131"/>
      <c r="H666" s="131"/>
      <c r="I666" s="131"/>
      <c r="J666" s="131"/>
      <c r="K666" s="131"/>
      <c r="L666" s="131"/>
      <c r="M666" s="780">
        <f>M662</f>
        <v>-46.068391369999993</v>
      </c>
      <c r="N666" s="780">
        <f t="shared" ref="N666:V666" si="108">N662</f>
        <v>0</v>
      </c>
      <c r="O666" s="780">
        <f t="shared" si="108"/>
        <v>0</v>
      </c>
      <c r="P666" s="780">
        <f t="shared" si="108"/>
        <v>0</v>
      </c>
      <c r="Q666" s="780">
        <f t="shared" si="108"/>
        <v>0</v>
      </c>
      <c r="R666" s="780">
        <f t="shared" si="108"/>
        <v>0</v>
      </c>
      <c r="S666" s="780">
        <f t="shared" si="108"/>
        <v>0</v>
      </c>
      <c r="T666" s="780">
        <f t="shared" si="108"/>
        <v>0</v>
      </c>
      <c r="U666" s="780">
        <f t="shared" si="108"/>
        <v>0</v>
      </c>
      <c r="V666" s="780">
        <f t="shared" si="108"/>
        <v>0</v>
      </c>
    </row>
    <row r="667" spans="2:22" outlineLevel="1">
      <c r="C667" s="138" t="s">
        <v>605</v>
      </c>
      <c r="D667" s="138"/>
      <c r="E667" s="138"/>
      <c r="F667" s="138"/>
      <c r="G667" s="131"/>
      <c r="H667" s="131"/>
      <c r="I667" s="131"/>
      <c r="J667" s="131"/>
      <c r="K667" s="131"/>
      <c r="L667" s="131"/>
      <c r="M667" s="780">
        <f>SUM(M665:M666)</f>
        <v>46.431608629999992</v>
      </c>
      <c r="N667" s="780">
        <f t="shared" ref="N667:V667" si="109">SUM(N665:N666)</f>
        <v>87.187193036586407</v>
      </c>
      <c r="O667" s="780">
        <f t="shared" si="109"/>
        <v>75.190389592548456</v>
      </c>
      <c r="P667" s="780">
        <f t="shared" si="109"/>
        <v>73.579962040382895</v>
      </c>
      <c r="Q667" s="780">
        <f t="shared" si="109"/>
        <v>69.222550109305644</v>
      </c>
      <c r="R667" s="780">
        <f t="shared" si="109"/>
        <v>69.983989637884804</v>
      </c>
      <c r="S667" s="780">
        <f t="shared" si="109"/>
        <v>70.921765106221358</v>
      </c>
      <c r="T667" s="780">
        <f t="shared" si="109"/>
        <v>70.088879856307997</v>
      </c>
      <c r="U667" s="780">
        <f t="shared" si="109"/>
        <v>68.459911506097257</v>
      </c>
      <c r="V667" s="780">
        <f t="shared" si="109"/>
        <v>68.101378402280176</v>
      </c>
    </row>
    <row r="668" spans="2:22" outlineLevel="1">
      <c r="C668" s="154"/>
      <c r="D668" s="154"/>
      <c r="E668" s="154"/>
      <c r="F668" s="154"/>
      <c r="G668" s="143"/>
      <c r="H668" s="143"/>
      <c r="I668" s="143"/>
      <c r="J668" s="143"/>
      <c r="K668" s="143"/>
      <c r="L668" s="143"/>
      <c r="M668" s="173"/>
      <c r="N668" s="173"/>
      <c r="O668" s="173"/>
      <c r="P668" s="173"/>
      <c r="Q668" s="173"/>
      <c r="R668" s="173"/>
      <c r="S668" s="173"/>
      <c r="T668" s="173"/>
      <c r="U668" s="190"/>
      <c r="V668" s="173"/>
    </row>
    <row r="669" spans="2:22" outlineLevel="1">
      <c r="B669" s="109"/>
      <c r="C669" s="148" t="s">
        <v>606</v>
      </c>
      <c r="D669" s="148"/>
      <c r="E669" s="146"/>
      <c r="F669" s="146"/>
      <c r="G669" s="146"/>
      <c r="H669" s="146"/>
      <c r="I669" s="146"/>
      <c r="J669" s="146"/>
      <c r="K669" s="146"/>
      <c r="L669" s="146"/>
      <c r="M669" s="173"/>
      <c r="N669" s="173"/>
      <c r="O669" s="173"/>
      <c r="P669" s="173"/>
      <c r="Q669" s="173"/>
      <c r="R669" s="173"/>
      <c r="S669" s="173"/>
      <c r="T669" s="173"/>
      <c r="U669" s="190"/>
      <c r="V669" s="173"/>
    </row>
    <row r="670" spans="2:22" outlineLevel="1">
      <c r="B670" s="109"/>
      <c r="C670" s="131" t="s">
        <v>607</v>
      </c>
      <c r="D670" s="131"/>
      <c r="E670" s="131"/>
      <c r="F670" s="131"/>
      <c r="G670" s="131"/>
      <c r="H670" s="131"/>
      <c r="I670" s="131"/>
      <c r="J670" s="131"/>
      <c r="K670" s="131"/>
      <c r="L670" s="131"/>
      <c r="M670" s="735">
        <v>0</v>
      </c>
      <c r="N670" s="735">
        <v>0</v>
      </c>
      <c r="O670" s="735">
        <v>0</v>
      </c>
      <c r="P670" s="735">
        <v>0</v>
      </c>
      <c r="Q670" s="735">
        <v>0</v>
      </c>
      <c r="R670" s="735">
        <v>0</v>
      </c>
      <c r="S670" s="735">
        <v>0</v>
      </c>
      <c r="T670" s="735">
        <v>0</v>
      </c>
      <c r="U670" s="735">
        <v>0</v>
      </c>
      <c r="V670" s="735">
        <v>0</v>
      </c>
    </row>
    <row r="671" spans="2:22" outlineLevel="1">
      <c r="B671" s="109"/>
      <c r="C671" s="131" t="s">
        <v>572</v>
      </c>
      <c r="D671" s="131"/>
      <c r="E671" s="131"/>
      <c r="F671" s="131"/>
      <c r="G671" s="131"/>
      <c r="H671" s="131"/>
      <c r="I671" s="131"/>
      <c r="J671" s="131"/>
      <c r="K671" s="131"/>
      <c r="L671" s="131"/>
      <c r="M671" s="733">
        <f>1-M670</f>
        <v>1</v>
      </c>
      <c r="N671" s="733">
        <f t="shared" ref="N671:V671" si="110">1-N670</f>
        <v>1</v>
      </c>
      <c r="O671" s="733">
        <f t="shared" si="110"/>
        <v>1</v>
      </c>
      <c r="P671" s="733">
        <f t="shared" si="110"/>
        <v>1</v>
      </c>
      <c r="Q671" s="733">
        <f t="shared" si="110"/>
        <v>1</v>
      </c>
      <c r="R671" s="733">
        <f t="shared" si="110"/>
        <v>1</v>
      </c>
      <c r="S671" s="733">
        <f t="shared" si="110"/>
        <v>1</v>
      </c>
      <c r="T671" s="733">
        <f t="shared" si="110"/>
        <v>1</v>
      </c>
      <c r="U671" s="733">
        <f t="shared" si="110"/>
        <v>1</v>
      </c>
      <c r="V671" s="733">
        <f t="shared" si="110"/>
        <v>1</v>
      </c>
    </row>
    <row r="672" spans="2:22" outlineLevel="1">
      <c r="B672" s="109"/>
    </row>
    <row r="673" spans="2:31">
      <c r="B673" s="117"/>
      <c r="X673" s="179"/>
    </row>
    <row r="674" spans="2:31" s="113" customFormat="1" ht="15" customHeight="1">
      <c r="B674" s="111" t="s">
        <v>608</v>
      </c>
      <c r="C674" s="111"/>
      <c r="D674" s="111"/>
      <c r="E674" s="111"/>
      <c r="F674" s="111"/>
      <c r="G674" s="111"/>
      <c r="H674" s="111"/>
      <c r="I674" s="111"/>
      <c r="J674" s="111"/>
      <c r="K674" s="111"/>
      <c r="L674" s="111"/>
      <c r="M674" s="111"/>
      <c r="N674" s="111"/>
      <c r="O674" s="111"/>
      <c r="P674" s="111"/>
      <c r="Q674" s="111"/>
      <c r="R674" s="111"/>
      <c r="S674" s="111"/>
      <c r="T674" s="111"/>
      <c r="U674" s="111"/>
      <c r="V674" s="111"/>
      <c r="W674" s="112"/>
      <c r="X674" s="112"/>
      <c r="Y674" s="112"/>
      <c r="Z674" s="112"/>
      <c r="AA674" s="112"/>
      <c r="AB674" s="112"/>
      <c r="AC674" s="112"/>
      <c r="AD674" s="112"/>
      <c r="AE674" s="112"/>
    </row>
    <row r="677" spans="2:31">
      <c r="E677" s="99" t="s">
        <v>609</v>
      </c>
    </row>
  </sheetData>
  <mergeCells count="238">
    <mergeCell ref="E277:I277"/>
    <mergeCell ref="C235:I235"/>
    <mergeCell ref="E371:I371"/>
    <mergeCell ref="E437:I437"/>
    <mergeCell ref="E416:I416"/>
    <mergeCell ref="E400:I400"/>
    <mergeCell ref="E401:I401"/>
    <mergeCell ref="E402:I402"/>
    <mergeCell ref="E403:I403"/>
    <mergeCell ref="E404:I404"/>
    <mergeCell ref="E405:I405"/>
    <mergeCell ref="C248:I248"/>
    <mergeCell ref="C249:I249"/>
    <mergeCell ref="C250:I250"/>
    <mergeCell ref="C251:I251"/>
    <mergeCell ref="C252:I252"/>
    <mergeCell ref="E280:I280"/>
    <mergeCell ref="E281:I281"/>
    <mergeCell ref="E282:I282"/>
    <mergeCell ref="E283:I283"/>
    <mergeCell ref="E284:I284"/>
    <mergeCell ref="E285:I285"/>
    <mergeCell ref="E286:I286"/>
    <mergeCell ref="E287:I287"/>
    <mergeCell ref="M7:Q7"/>
    <mergeCell ref="R7:V7"/>
    <mergeCell ref="E470:I471"/>
    <mergeCell ref="E459:I460"/>
    <mergeCell ref="C261:I261"/>
    <mergeCell ref="C267:I267"/>
    <mergeCell ref="C262:I262"/>
    <mergeCell ref="C263:I263"/>
    <mergeCell ref="C264:I264"/>
    <mergeCell ref="C265:I265"/>
    <mergeCell ref="E299:I300"/>
    <mergeCell ref="E301:I301"/>
    <mergeCell ref="E274:I275"/>
    <mergeCell ref="C227:I227"/>
    <mergeCell ref="C228:I228"/>
    <mergeCell ref="C229:I229"/>
    <mergeCell ref="C230:I230"/>
    <mergeCell ref="C231:I231"/>
    <mergeCell ref="E278:I278"/>
    <mergeCell ref="E279:I279"/>
    <mergeCell ref="E291:I291"/>
    <mergeCell ref="C245:I245"/>
    <mergeCell ref="C246:I246"/>
    <mergeCell ref="C247:I247"/>
    <mergeCell ref="B242:B243"/>
    <mergeCell ref="C242:I243"/>
    <mergeCell ref="B210:B211"/>
    <mergeCell ref="C210:I211"/>
    <mergeCell ref="C225:I226"/>
    <mergeCell ref="B225:B226"/>
    <mergeCell ref="C266:I266"/>
    <mergeCell ref="B257:B258"/>
    <mergeCell ref="C257:I258"/>
    <mergeCell ref="C259:I259"/>
    <mergeCell ref="C260:I260"/>
    <mergeCell ref="C212:I212"/>
    <mergeCell ref="C213:I213"/>
    <mergeCell ref="C214:I214"/>
    <mergeCell ref="C215:I215"/>
    <mergeCell ref="C216:I216"/>
    <mergeCell ref="C217:I217"/>
    <mergeCell ref="C218:I218"/>
    <mergeCell ref="C219:I219"/>
    <mergeCell ref="C220:I220"/>
    <mergeCell ref="C232:I232"/>
    <mergeCell ref="C233:I233"/>
    <mergeCell ref="C234:I234"/>
    <mergeCell ref="C244:I244"/>
    <mergeCell ref="C535:I535"/>
    <mergeCell ref="C536:I536"/>
    <mergeCell ref="C537:I537"/>
    <mergeCell ref="C538:I538"/>
    <mergeCell ref="C539:I539"/>
    <mergeCell ref="C525:I525"/>
    <mergeCell ref="C526:I526"/>
    <mergeCell ref="C527:I527"/>
    <mergeCell ref="C528:I528"/>
    <mergeCell ref="C529:I529"/>
    <mergeCell ref="C534:I534"/>
    <mergeCell ref="E288:I288"/>
    <mergeCell ref="E289:I289"/>
    <mergeCell ref="E290:I290"/>
    <mergeCell ref="E276:I276"/>
    <mergeCell ref="E292:I292"/>
    <mergeCell ref="E293:I293"/>
    <mergeCell ref="E328:I328"/>
    <mergeCell ref="E414:I414"/>
    <mergeCell ref="E370:I370"/>
    <mergeCell ref="C294:I294"/>
    <mergeCell ref="E326:I327"/>
    <mergeCell ref="C319:I319"/>
    <mergeCell ref="I323:Q323"/>
    <mergeCell ref="E302:I302"/>
    <mergeCell ref="E318:I318"/>
    <mergeCell ref="E329:I329"/>
    <mergeCell ref="E362:I362"/>
    <mergeCell ref="E363:I363"/>
    <mergeCell ref="E368:I369"/>
    <mergeCell ref="E412:I413"/>
    <mergeCell ref="E303:I303"/>
    <mergeCell ref="E304:I304"/>
    <mergeCell ref="E305:I305"/>
    <mergeCell ref="E306:I306"/>
    <mergeCell ref="E307:I307"/>
    <mergeCell ref="E308:I308"/>
    <mergeCell ref="E309:I309"/>
    <mergeCell ref="E310:I310"/>
    <mergeCell ref="C476:I476"/>
    <mergeCell ref="C483:I483"/>
    <mergeCell ref="C503:I503"/>
    <mergeCell ref="C524:I524"/>
    <mergeCell ref="E440:I440"/>
    <mergeCell ref="E461:I461"/>
    <mergeCell ref="E462:I462"/>
    <mergeCell ref="E463:I463"/>
    <mergeCell ref="E464:I464"/>
    <mergeCell ref="C504:I504"/>
    <mergeCell ref="C517:I517"/>
    <mergeCell ref="C441:I441"/>
    <mergeCell ref="E448:I448"/>
    <mergeCell ref="C484:I484"/>
    <mergeCell ref="E475:I475"/>
    <mergeCell ref="E473:I473"/>
    <mergeCell ref="E474:I474"/>
    <mergeCell ref="C485:I485"/>
    <mergeCell ref="C486:I486"/>
    <mergeCell ref="C487:I487"/>
    <mergeCell ref="C488:I488"/>
    <mergeCell ref="E449:I449"/>
    <mergeCell ref="E450:I450"/>
    <mergeCell ref="E311:I311"/>
    <mergeCell ref="E312:I312"/>
    <mergeCell ref="E313:I313"/>
    <mergeCell ref="E314:I314"/>
    <mergeCell ref="E315:I315"/>
    <mergeCell ref="E316:I316"/>
    <mergeCell ref="E317:I317"/>
    <mergeCell ref="E330:I330"/>
    <mergeCell ref="E331:I331"/>
    <mergeCell ref="E332:I332"/>
    <mergeCell ref="E333:I333"/>
    <mergeCell ref="E334:I334"/>
    <mergeCell ref="E335:I335"/>
    <mergeCell ref="E336:I336"/>
    <mergeCell ref="E337:I337"/>
    <mergeCell ref="E338:I338"/>
    <mergeCell ref="E339:I339"/>
    <mergeCell ref="E340:I340"/>
    <mergeCell ref="E341:I341"/>
    <mergeCell ref="E342:I342"/>
    <mergeCell ref="E343:I343"/>
    <mergeCell ref="E344:I344"/>
    <mergeCell ref="E345:I345"/>
    <mergeCell ref="E346:I346"/>
    <mergeCell ref="E347:I347"/>
    <mergeCell ref="E348:I348"/>
    <mergeCell ref="E349:I349"/>
    <mergeCell ref="E350:I350"/>
    <mergeCell ref="E351:I351"/>
    <mergeCell ref="E352:I352"/>
    <mergeCell ref="E353:I353"/>
    <mergeCell ref="E354:I354"/>
    <mergeCell ref="E355:I355"/>
    <mergeCell ref="E356:I356"/>
    <mergeCell ref="E357:I357"/>
    <mergeCell ref="E358:I358"/>
    <mergeCell ref="E359:I359"/>
    <mergeCell ref="E360:I360"/>
    <mergeCell ref="E361:I361"/>
    <mergeCell ref="E372:I372"/>
    <mergeCell ref="E373:I373"/>
    <mergeCell ref="E374:I374"/>
    <mergeCell ref="E375:I375"/>
    <mergeCell ref="E376:I376"/>
    <mergeCell ref="E377:I377"/>
    <mergeCell ref="E378:I378"/>
    <mergeCell ref="E392:I392"/>
    <mergeCell ref="E393:I393"/>
    <mergeCell ref="E394:I394"/>
    <mergeCell ref="E395:I395"/>
    <mergeCell ref="E396:I396"/>
    <mergeCell ref="E397:I397"/>
    <mergeCell ref="E398:I398"/>
    <mergeCell ref="E399:I399"/>
    <mergeCell ref="E379:I379"/>
    <mergeCell ref="E380:I380"/>
    <mergeCell ref="E381:I381"/>
    <mergeCell ref="E382:I382"/>
    <mergeCell ref="E383:I383"/>
    <mergeCell ref="E384:I384"/>
    <mergeCell ref="E385:I385"/>
    <mergeCell ref="E386:I386"/>
    <mergeCell ref="E387:I387"/>
    <mergeCell ref="E388:I388"/>
    <mergeCell ref="E389:I389"/>
    <mergeCell ref="E390:I390"/>
    <mergeCell ref="E391:I391"/>
    <mergeCell ref="E451:I451"/>
    <mergeCell ref="C452:I452"/>
    <mergeCell ref="E472:I472"/>
    <mergeCell ref="E435:I436"/>
    <mergeCell ref="E446:I447"/>
    <mergeCell ref="C428:I428"/>
    <mergeCell ref="E438:I438"/>
    <mergeCell ref="E439:I439"/>
    <mergeCell ref="E415:I415"/>
    <mergeCell ref="E423:I424"/>
    <mergeCell ref="E425:I425"/>
    <mergeCell ref="E426:I426"/>
    <mergeCell ref="C418:I418"/>
    <mergeCell ref="C465:I465"/>
    <mergeCell ref="E427:I427"/>
    <mergeCell ref="E417:I417"/>
    <mergeCell ref="C489:I489"/>
    <mergeCell ref="C490:I490"/>
    <mergeCell ref="C491:I491"/>
    <mergeCell ref="C492:I492"/>
    <mergeCell ref="C493:I493"/>
    <mergeCell ref="C494:I494"/>
    <mergeCell ref="C495:I495"/>
    <mergeCell ref="C496:I496"/>
    <mergeCell ref="C497:I497"/>
    <mergeCell ref="C514:I514"/>
    <mergeCell ref="C515:I515"/>
    <mergeCell ref="C516:I516"/>
    <mergeCell ref="C505:I505"/>
    <mergeCell ref="C506:I506"/>
    <mergeCell ref="C507:I507"/>
    <mergeCell ref="C508:I508"/>
    <mergeCell ref="C509:I509"/>
    <mergeCell ref="C510:I510"/>
    <mergeCell ref="C511:I511"/>
    <mergeCell ref="C512:I512"/>
    <mergeCell ref="C513:I513"/>
  </mergeCells>
  <phoneticPr fontId="265" type="noConversion"/>
  <conditionalFormatting sqref="M416:V418 M626:V626">
    <cfRule type="cellIs" priority="122" stopIfTrue="1" operator="greaterThanOrEqual">
      <formula>0</formula>
    </cfRule>
  </conditionalFormatting>
  <conditionalFormatting sqref="M592:V592">
    <cfRule type="cellIs" priority="121" stopIfTrue="1" operator="greaterThanOrEqual">
      <formula>0</formula>
    </cfRule>
  </conditionalFormatting>
  <conditionalFormatting sqref="M670:V670">
    <cfRule type="cellIs" priority="120" stopIfTrue="1" operator="greaterThanOrEqual">
      <formula>0</formula>
    </cfRule>
  </conditionalFormatting>
  <conditionalFormatting sqref="U9">
    <cfRule type="expression" dxfId="40" priority="116">
      <formula>AND(U$5="Actuals",V$5="Forecast")</formula>
    </cfRule>
  </conditionalFormatting>
  <conditionalFormatting sqref="M9:U9">
    <cfRule type="expression" dxfId="39" priority="113">
      <formula>AND(M$8="Actuals",N$8="Forecast")</formula>
    </cfRule>
  </conditionalFormatting>
  <conditionalFormatting sqref="M478:V478">
    <cfRule type="cellIs" priority="111" stopIfTrue="1" operator="greaterThanOrEqual">
      <formula>0</formula>
    </cfRule>
  </conditionalFormatting>
  <conditionalFormatting sqref="M519:V519">
    <cfRule type="cellIs" priority="110" stopIfTrue="1" operator="greaterThanOrEqual">
      <formula>0</formula>
    </cfRule>
  </conditionalFormatting>
  <conditionalFormatting sqref="C452">
    <cfRule type="cellIs" priority="83" stopIfTrue="1" operator="greaterThanOrEqual">
      <formula>0</formula>
    </cfRule>
  </conditionalFormatting>
  <conditionalFormatting sqref="M541:V541">
    <cfRule type="cellIs" priority="76" stopIfTrue="1" operator="greaterThanOrEqual">
      <formula>0</formula>
    </cfRule>
  </conditionalFormatting>
  <conditionalFormatting sqref="B294">
    <cfRule type="cellIs" priority="75" stopIfTrue="1" operator="greaterThanOrEqual">
      <formula>0</formula>
    </cfRule>
  </conditionalFormatting>
  <conditionalFormatting sqref="C294">
    <cfRule type="cellIs" priority="74" stopIfTrue="1" operator="greaterThanOrEqual">
      <formula>0</formula>
    </cfRule>
  </conditionalFormatting>
  <conditionalFormatting sqref="N416:V416">
    <cfRule type="cellIs" priority="70" stopIfTrue="1" operator="greaterThanOrEqual">
      <formula>0</formula>
    </cfRule>
  </conditionalFormatting>
  <conditionalFormatting sqref="C441">
    <cfRule type="cellIs" priority="67" stopIfTrue="1" operator="greaterThanOrEqual">
      <formula>0</formula>
    </cfRule>
  </conditionalFormatting>
  <conditionalFormatting sqref="M467:V467">
    <cfRule type="cellIs" priority="66" stopIfTrue="1" operator="greaterThanOrEqual">
      <formula>0</formula>
    </cfRule>
  </conditionalFormatting>
  <conditionalFormatting sqref="M531:V531">
    <cfRule type="cellIs" priority="61" stopIfTrue="1" operator="greaterThanOrEqual">
      <formula>0</formula>
    </cfRule>
  </conditionalFormatting>
  <conditionalFormatting sqref="V9">
    <cfRule type="expression" dxfId="38" priority="337">
      <formula>AND(V$5="Actuals",#REF!="Forecast")</formula>
    </cfRule>
  </conditionalFormatting>
  <conditionalFormatting sqref="V9">
    <cfRule type="expression" dxfId="37" priority="339">
      <formula>AND(V$8="Actuals",#REF!="Forecast")</formula>
    </cfRule>
  </conditionalFormatting>
  <conditionalFormatting sqref="B319">
    <cfRule type="cellIs" priority="59" stopIfTrue="1" operator="greaterThanOrEqual">
      <formula>0</formula>
    </cfRule>
  </conditionalFormatting>
  <conditionalFormatting sqref="C319">
    <cfRule type="cellIs" priority="58" stopIfTrue="1" operator="greaterThanOrEqual">
      <formula>0</formula>
    </cfRule>
  </conditionalFormatting>
  <conditionalFormatting sqref="B418">
    <cfRule type="cellIs" priority="53" stopIfTrue="1" operator="greaterThanOrEqual">
      <formula>0</formula>
    </cfRule>
  </conditionalFormatting>
  <conditionalFormatting sqref="C418">
    <cfRule type="cellIs" priority="52" stopIfTrue="1" operator="greaterThanOrEqual">
      <formula>0</formula>
    </cfRule>
  </conditionalFormatting>
  <conditionalFormatting sqref="B428">
    <cfRule type="cellIs" priority="51" stopIfTrue="1" operator="greaterThanOrEqual">
      <formula>0</formula>
    </cfRule>
  </conditionalFormatting>
  <conditionalFormatting sqref="C428">
    <cfRule type="cellIs" priority="50" stopIfTrue="1" operator="greaterThanOrEqual">
      <formula>0</formula>
    </cfRule>
  </conditionalFormatting>
  <conditionalFormatting sqref="C465">
    <cfRule type="cellIs" priority="49" stopIfTrue="1" operator="greaterThanOrEqual">
      <formula>0</formula>
    </cfRule>
  </conditionalFormatting>
  <conditionalFormatting sqref="C476">
    <cfRule type="cellIs" priority="48" stopIfTrue="1" operator="greaterThanOrEqual">
      <formula>0</formula>
    </cfRule>
  </conditionalFormatting>
  <conditionalFormatting sqref="M19:V52">
    <cfRule type="cellIs" priority="43" stopIfTrue="1" operator="greaterThanOrEqual">
      <formula>0</formula>
    </cfRule>
  </conditionalFormatting>
  <conditionalFormatting sqref="M59:V92">
    <cfRule type="cellIs" priority="42" stopIfTrue="1" operator="greaterThanOrEqual">
      <formula>0</formula>
    </cfRule>
  </conditionalFormatting>
  <conditionalFormatting sqref="M101:V115">
    <cfRule type="cellIs" priority="41" stopIfTrue="1" operator="greaterThanOrEqual">
      <formula>0</formula>
    </cfRule>
  </conditionalFormatting>
  <conditionalFormatting sqref="M122:V136">
    <cfRule type="cellIs" priority="40" stopIfTrue="1" operator="greaterThanOrEqual">
      <formula>0</formula>
    </cfRule>
  </conditionalFormatting>
  <conditionalFormatting sqref="M146:V154">
    <cfRule type="cellIs" priority="39" stopIfTrue="1" operator="greaterThanOrEqual">
      <formula>0</formula>
    </cfRule>
  </conditionalFormatting>
  <conditionalFormatting sqref="M161:V169">
    <cfRule type="cellIs" priority="38" stopIfTrue="1" operator="greaterThanOrEqual">
      <formula>0</formula>
    </cfRule>
  </conditionalFormatting>
  <conditionalFormatting sqref="M179:V187">
    <cfRule type="cellIs" priority="37" stopIfTrue="1" operator="greaterThanOrEqual">
      <formula>0</formula>
    </cfRule>
  </conditionalFormatting>
  <conditionalFormatting sqref="M194:V202">
    <cfRule type="cellIs" priority="36" stopIfTrue="1" operator="greaterThanOrEqual">
      <formula>0</formula>
    </cfRule>
  </conditionalFormatting>
  <conditionalFormatting sqref="M212:V220">
    <cfRule type="cellIs" priority="35" stopIfTrue="1" operator="greaterThanOrEqual">
      <formula>0</formula>
    </cfRule>
  </conditionalFormatting>
  <conditionalFormatting sqref="M227:V235">
    <cfRule type="cellIs" priority="34" stopIfTrue="1" operator="greaterThanOrEqual">
      <formula>0</formula>
    </cfRule>
  </conditionalFormatting>
  <conditionalFormatting sqref="M244:V252">
    <cfRule type="cellIs" priority="33" stopIfTrue="1" operator="greaterThanOrEqual">
      <formula>0</formula>
    </cfRule>
  </conditionalFormatting>
  <conditionalFormatting sqref="M259:V267">
    <cfRule type="cellIs" priority="32" stopIfTrue="1" operator="greaterThanOrEqual">
      <formula>0</formula>
    </cfRule>
  </conditionalFormatting>
  <conditionalFormatting sqref="M276:V294">
    <cfRule type="cellIs" priority="31" stopIfTrue="1" operator="greaterThanOrEqual">
      <formula>0</formula>
    </cfRule>
  </conditionalFormatting>
  <conditionalFormatting sqref="M301:V319">
    <cfRule type="cellIs" priority="29" stopIfTrue="1" operator="greaterThanOrEqual">
      <formula>0</formula>
    </cfRule>
  </conditionalFormatting>
  <conditionalFormatting sqref="M328:V363">
    <cfRule type="cellIs" priority="28" stopIfTrue="1" operator="greaterThanOrEqual">
      <formula>0</formula>
    </cfRule>
  </conditionalFormatting>
  <conditionalFormatting sqref="M370:V405">
    <cfRule type="cellIs" priority="27" stopIfTrue="1" operator="greaterThanOrEqual">
      <formula>0</formula>
    </cfRule>
  </conditionalFormatting>
  <conditionalFormatting sqref="M414:V415">
    <cfRule type="cellIs" priority="26" stopIfTrue="1" operator="greaterThanOrEqual">
      <formula>0</formula>
    </cfRule>
  </conditionalFormatting>
  <conditionalFormatting sqref="M425:V428">
    <cfRule type="cellIs" priority="24" stopIfTrue="1" operator="greaterThanOrEqual">
      <formula>0</formula>
    </cfRule>
  </conditionalFormatting>
  <conditionalFormatting sqref="M437:V441">
    <cfRule type="cellIs" priority="23" stopIfTrue="1" operator="greaterThanOrEqual">
      <formula>0</formula>
    </cfRule>
  </conditionalFormatting>
  <conditionalFormatting sqref="M448:V452">
    <cfRule type="cellIs" priority="22" stopIfTrue="1" operator="greaterThanOrEqual">
      <formula>0</formula>
    </cfRule>
  </conditionalFormatting>
  <conditionalFormatting sqref="M461:V465">
    <cfRule type="cellIs" priority="21" stopIfTrue="1" operator="greaterThanOrEqual">
      <formula>0</formula>
    </cfRule>
  </conditionalFormatting>
  <conditionalFormatting sqref="M472:V476">
    <cfRule type="cellIs" priority="20" stopIfTrue="1" operator="greaterThanOrEqual">
      <formula>0</formula>
    </cfRule>
  </conditionalFormatting>
  <conditionalFormatting sqref="M484:V497">
    <cfRule type="cellIs" priority="19" stopIfTrue="1" operator="greaterThanOrEqual">
      <formula>0</formula>
    </cfRule>
  </conditionalFormatting>
  <conditionalFormatting sqref="M504:V517">
    <cfRule type="cellIs" priority="18" stopIfTrue="1" operator="greaterThanOrEqual">
      <formula>0</formula>
    </cfRule>
  </conditionalFormatting>
  <conditionalFormatting sqref="M525:V529">
    <cfRule type="cellIs" priority="17" stopIfTrue="1" operator="greaterThanOrEqual">
      <formula>0</formula>
    </cfRule>
  </conditionalFormatting>
  <conditionalFormatting sqref="M535:V539">
    <cfRule type="cellIs" priority="16" stopIfTrue="1" operator="greaterThanOrEqual">
      <formula>0</formula>
    </cfRule>
  </conditionalFormatting>
  <conditionalFormatting sqref="M557:V571">
    <cfRule type="cellIs" priority="13" stopIfTrue="1" operator="greaterThanOrEqual">
      <formula>0</formula>
    </cfRule>
  </conditionalFormatting>
  <conditionalFormatting sqref="M551:V555">
    <cfRule type="cellIs" priority="12" stopIfTrue="1" operator="greaterThanOrEqual">
      <formula>0</formula>
    </cfRule>
  </conditionalFormatting>
  <conditionalFormatting sqref="M545:V546">
    <cfRule type="cellIs" priority="11" stopIfTrue="1" operator="greaterThanOrEqual">
      <formula>0</formula>
    </cfRule>
  </conditionalFormatting>
  <conditionalFormatting sqref="M575:V577">
    <cfRule type="cellIs" priority="10" stopIfTrue="1" operator="greaterThanOrEqual">
      <formula>0</formula>
    </cfRule>
  </conditionalFormatting>
  <conditionalFormatting sqref="M580:V583">
    <cfRule type="cellIs" priority="8" stopIfTrue="1" operator="greaterThanOrEqual">
      <formula>0</formula>
    </cfRule>
  </conditionalFormatting>
  <conditionalFormatting sqref="M597:V613">
    <cfRule type="cellIs" priority="7" stopIfTrue="1" operator="greaterThanOrEqual">
      <formula>0</formula>
    </cfRule>
  </conditionalFormatting>
  <conditionalFormatting sqref="M617:V622">
    <cfRule type="cellIs" priority="6" stopIfTrue="1" operator="greaterThanOrEqual">
      <formula>0</formula>
    </cfRule>
  </conditionalFormatting>
  <conditionalFormatting sqref="M637:V638">
    <cfRule type="cellIs" priority="5" stopIfTrue="1" operator="greaterThanOrEqual">
      <formula>0</formula>
    </cfRule>
  </conditionalFormatting>
  <conditionalFormatting sqref="M643:V643">
    <cfRule type="cellIs" priority="4" stopIfTrue="1" operator="greaterThanOrEqual">
      <formula>0</formula>
    </cfRule>
  </conditionalFormatting>
  <conditionalFormatting sqref="M645:V648">
    <cfRule type="cellIs" priority="3" stopIfTrue="1" operator="greaterThanOrEqual">
      <formula>0</formula>
    </cfRule>
  </conditionalFormatting>
  <conditionalFormatting sqref="M653:V655">
    <cfRule type="cellIs" priority="2" stopIfTrue="1" operator="greaterThanOrEqual">
      <formula>0</formula>
    </cfRule>
  </conditionalFormatting>
  <conditionalFormatting sqref="M658:V661">
    <cfRule type="cellIs" priority="1" stopIfTrue="1" operator="greaterThanOrEqual">
      <formula>0</formula>
    </cfRule>
  </conditionalFormatting>
  <dataValidations disablePrompts="1" count="2">
    <dataValidation type="decimal" operator="greaterThanOrEqual" allowBlank="1" showInputMessage="1" showErrorMessage="1" sqref="X557:X561" xr:uid="{00000000-0002-0000-0900-000000000000}">
      <formula1>0</formula1>
    </dataValidation>
    <dataValidation type="decimal" operator="lessThanOrEqual" allowBlank="1" showInputMessage="1" showErrorMessage="1" sqref="X562" xr:uid="{00000000-0002-0000-09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&amp;L&amp;"Calibri"&amp;11&amp;K000000&amp;T
&amp;D&amp;C_x000D_&amp;1#&amp;"Calibri"&amp;10&amp;K000000 OFFICIAL-InternalOnly&amp;R&amp;P
&amp;L&amp;"Calibri"&amp;11&amp;K000000&amp;T
&amp;D</oddFooter>
  </headerFooter>
  <customProperties>
    <customPr name="EpmWorksheetKeyString_GUID" r:id="rId2"/>
  </customProperties>
  <ignoredErrors>
    <ignoredError sqref="C426:I427 C449:I451 C473:I475 C536:I537 C538 C425 C504:D504 C535:I535 C525 F504:I504 E301 E414:I414 F425:I425 D425:E425 C437:I440 F448:I448 C448:E448 C461:I464 F472:I472 C472:E472 C526:I528 E276:I276 E277:I293 E302:I318 C328:I328 E329:I363 M364:V364 E370:I370 E371:I405 M406:V406 M416:V417 E415:I417 C484:I484 C485:I497 C505:I517 M547:V550 M582:V582 M614:V614 M639:V642 M656:V657 M556:V556 M564:V564 M644:V644 M649:V649 M662:V662" unlockedFormula="1"/>
  </ignoredError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rgb="FFFFFFCC"/>
    <pageSetUpPr fitToPage="1"/>
  </sheetPr>
  <dimension ref="A1:K67"/>
  <sheetViews>
    <sheetView showGridLines="0" zoomScaleNormal="100" workbookViewId="0">
      <pane ySplit="7" topLeftCell="A8" activePane="bottomLeft" state="frozen"/>
      <selection activeCell="B9" sqref="B9"/>
      <selection pane="bottomLeft"/>
    </sheetView>
  </sheetViews>
  <sheetFormatPr defaultRowHeight="13.5"/>
  <cols>
    <col min="1" max="1" width="8.3828125" customWidth="1"/>
    <col min="2" max="2" width="85.765625" bestFit="1" customWidth="1"/>
    <col min="3" max="3" width="14.15234375" customWidth="1"/>
    <col min="4" max="8" width="11.15234375" style="24" customWidth="1"/>
    <col min="9" max="9" width="5" customWidth="1"/>
    <col min="10" max="10" width="12.84375" customWidth="1"/>
  </cols>
  <sheetData>
    <row r="1" spans="1:9" ht="20">
      <c r="A1" s="677" t="s">
        <v>179</v>
      </c>
      <c r="B1" s="381"/>
      <c r="C1" s="382"/>
      <c r="D1" s="847"/>
      <c r="E1" s="847"/>
      <c r="F1" s="847"/>
      <c r="G1" s="847"/>
      <c r="H1" s="847"/>
      <c r="I1" s="684"/>
    </row>
    <row r="2" spans="1:9" ht="20">
      <c r="A2" s="295" t="str">
        <f>Licensee</f>
        <v>NGGT (TO)</v>
      </c>
      <c r="B2" s="290"/>
      <c r="C2" s="15"/>
      <c r="D2" s="850"/>
      <c r="E2" s="850"/>
      <c r="F2" s="850"/>
      <c r="G2" s="850"/>
      <c r="H2" s="850"/>
      <c r="I2" s="38"/>
    </row>
    <row r="3" spans="1:9" ht="20">
      <c r="A3" s="534">
        <f>Reporting_Year</f>
        <v>2022</v>
      </c>
      <c r="B3" s="533" t="str">
        <f>'R5 - Financing'!B3</f>
        <v/>
      </c>
      <c r="C3" s="524"/>
      <c r="D3" s="852"/>
      <c r="E3" s="852"/>
      <c r="F3" s="852"/>
      <c r="G3" s="852"/>
      <c r="H3" s="852"/>
      <c r="I3" s="68"/>
    </row>
    <row r="4" spans="1:9" ht="12.75" customHeight="1">
      <c r="A4" s="21"/>
      <c r="B4" s="21"/>
      <c r="C4" s="21"/>
      <c r="D4" s="917"/>
      <c r="E4" s="917"/>
      <c r="F4" s="917"/>
      <c r="G4" s="917"/>
      <c r="H4" s="917"/>
      <c r="I4" s="18"/>
    </row>
    <row r="5" spans="1:9" s="2" customFormat="1">
      <c r="B5" s="3"/>
      <c r="C5" s="3"/>
      <c r="D5" s="512" t="str">
        <f t="shared" ref="D5:H5" si="0">IF(D6&lt;=Reporting_Year,"Actuals","Forecast")</f>
        <v>Actuals</v>
      </c>
      <c r="E5" s="512" t="str">
        <f t="shared" si="0"/>
        <v>Forecast</v>
      </c>
      <c r="F5" s="512" t="str">
        <f t="shared" si="0"/>
        <v>Forecast</v>
      </c>
      <c r="G5" s="512" t="str">
        <f t="shared" si="0"/>
        <v>Forecast</v>
      </c>
      <c r="H5" s="512" t="str">
        <f t="shared" si="0"/>
        <v>Forecast</v>
      </c>
    </row>
    <row r="6" spans="1:9" s="2" customFormat="1">
      <c r="D6" s="401">
        <f>'RFPR cover'!$C$6</f>
        <v>2022</v>
      </c>
      <c r="E6" s="401">
        <f>D6+1</f>
        <v>2023</v>
      </c>
      <c r="F6" s="401">
        <f t="shared" ref="F6:H6" si="1">E6+1</f>
        <v>2024</v>
      </c>
      <c r="G6" s="401">
        <f t="shared" si="1"/>
        <v>2025</v>
      </c>
      <c r="H6" s="401">
        <f t="shared" si="1"/>
        <v>2026</v>
      </c>
    </row>
    <row r="7" spans="1:9" s="2" customFormat="1">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row>
    <row r="8" spans="1:9" s="2" customFormat="1">
      <c r="D8" s="337"/>
      <c r="E8" s="337"/>
      <c r="F8" s="337"/>
      <c r="G8" s="337"/>
      <c r="H8" s="337"/>
    </row>
    <row r="9" spans="1:9" s="2" customFormat="1">
      <c r="B9" s="52" t="s">
        <v>610</v>
      </c>
      <c r="C9" s="46" t="s">
        <v>230</v>
      </c>
      <c r="D9" s="920">
        <v>-88</v>
      </c>
      <c r="E9" s="935">
        <f>D11</f>
        <v>-10</v>
      </c>
      <c r="F9" s="935">
        <f t="shared" ref="F9:H9" si="2">E11</f>
        <v>-10</v>
      </c>
      <c r="G9" s="935">
        <f t="shared" si="2"/>
        <v>-10</v>
      </c>
      <c r="H9" s="935">
        <f t="shared" si="2"/>
        <v>-10</v>
      </c>
    </row>
    <row r="10" spans="1:9" s="2" customFormat="1">
      <c r="B10" s="52"/>
      <c r="D10" s="827"/>
      <c r="E10" s="827"/>
      <c r="F10" s="827"/>
      <c r="G10" s="827"/>
      <c r="H10" s="827"/>
    </row>
    <row r="11" spans="1:9">
      <c r="B11" s="52" t="s">
        <v>611</v>
      </c>
      <c r="C11" s="46" t="s">
        <v>230</v>
      </c>
      <c r="D11" s="900">
        <f>'R6a - Net Debt input'!T22</f>
        <v>-10</v>
      </c>
      <c r="E11" s="900">
        <f>'R6a - Net Debt input'!U22</f>
        <v>-10</v>
      </c>
      <c r="F11" s="900">
        <f>'R6a - Net Debt input'!V22</f>
        <v>-10</v>
      </c>
      <c r="G11" s="900">
        <f>'R6a - Net Debt input'!W22</f>
        <v>-10</v>
      </c>
      <c r="H11" s="900">
        <f>'R6a - Net Debt input'!X22</f>
        <v>-10</v>
      </c>
    </row>
    <row r="12" spans="1:9">
      <c r="B12" s="52" t="s">
        <v>612</v>
      </c>
      <c r="C12" s="46" t="s">
        <v>230</v>
      </c>
      <c r="D12" s="900">
        <f>'R6a - Net Debt input'!T82</f>
        <v>4168.8999999999996</v>
      </c>
      <c r="E12" s="900">
        <f>'R6a - Net Debt input'!U82</f>
        <v>3589.8134645305295</v>
      </c>
      <c r="F12" s="900">
        <f>'R6a - Net Debt input'!V82</f>
        <v>3697.9111557602205</v>
      </c>
      <c r="G12" s="900">
        <f>'R6a - Net Debt input'!W82</f>
        <v>3667.4021350060311</v>
      </c>
      <c r="H12" s="900">
        <f>'R6a - Net Debt input'!X82</f>
        <v>3713.8105047634995</v>
      </c>
    </row>
    <row r="13" spans="1:9">
      <c r="B13" s="52" t="s">
        <v>613</v>
      </c>
      <c r="C13" s="46" t="s">
        <v>230</v>
      </c>
      <c r="D13" s="900">
        <f>'R6a - Net Debt input'!T97</f>
        <v>0</v>
      </c>
      <c r="E13" s="900">
        <f>'R6a - Net Debt input'!U97</f>
        <v>0</v>
      </c>
      <c r="F13" s="900">
        <f>'R6a - Net Debt input'!V97</f>
        <v>0</v>
      </c>
      <c r="G13" s="900">
        <f>'R6a - Net Debt input'!W97</f>
        <v>0</v>
      </c>
      <c r="H13" s="900">
        <f>'R6a - Net Debt input'!X97</f>
        <v>0</v>
      </c>
    </row>
    <row r="14" spans="1:9">
      <c r="B14" s="52" t="s">
        <v>614</v>
      </c>
      <c r="C14" s="46" t="s">
        <v>230</v>
      </c>
      <c r="D14" s="900">
        <f>'R6a - Net Debt input'!T112</f>
        <v>-428</v>
      </c>
      <c r="E14" s="900">
        <f>'R6a - Net Debt input'!U112</f>
        <v>0</v>
      </c>
      <c r="F14" s="900">
        <f>'R6a - Net Debt input'!V112</f>
        <v>0</v>
      </c>
      <c r="G14" s="900">
        <f>'R6a - Net Debt input'!W112</f>
        <v>0</v>
      </c>
      <c r="H14" s="900">
        <f>'R6a - Net Debt input'!X112</f>
        <v>0</v>
      </c>
    </row>
    <row r="15" spans="1:9">
      <c r="B15" s="52" t="s">
        <v>615</v>
      </c>
      <c r="C15" s="46" t="s">
        <v>230</v>
      </c>
      <c r="D15" s="900">
        <f>'R6a - Net Debt input'!T127</f>
        <v>0</v>
      </c>
      <c r="E15" s="900">
        <f>'R6a - Net Debt input'!U127</f>
        <v>0</v>
      </c>
      <c r="F15" s="900">
        <f>'R6a - Net Debt input'!V127</f>
        <v>0</v>
      </c>
      <c r="G15" s="900">
        <f>'R6a - Net Debt input'!W127</f>
        <v>0</v>
      </c>
      <c r="H15" s="900">
        <f>'R6a - Net Debt input'!X127</f>
        <v>0</v>
      </c>
    </row>
    <row r="16" spans="1:9">
      <c r="B16" s="52" t="s">
        <v>616</v>
      </c>
      <c r="C16" s="46" t="s">
        <v>230</v>
      </c>
      <c r="D16" s="900">
        <f>'R6a - Net Debt input'!T143</f>
        <v>0</v>
      </c>
      <c r="E16" s="900">
        <f>'R6a - Net Debt input'!U143</f>
        <v>0</v>
      </c>
      <c r="F16" s="900">
        <f>'R6a - Net Debt input'!V143</f>
        <v>0</v>
      </c>
      <c r="G16" s="900">
        <f>'R6a - Net Debt input'!W143</f>
        <v>0</v>
      </c>
      <c r="H16" s="900">
        <f>'R6a - Net Debt input'!X143</f>
        <v>0</v>
      </c>
    </row>
    <row r="17" spans="2:10">
      <c r="B17" s="52" t="s">
        <v>617</v>
      </c>
      <c r="C17" s="46" t="s">
        <v>230</v>
      </c>
      <c r="D17" s="900">
        <f>'R6a - Net Debt input'!T168</f>
        <v>-66.5</v>
      </c>
      <c r="E17" s="900">
        <f>'R6a - Net Debt input'!U168</f>
        <v>-56.643506599999995</v>
      </c>
      <c r="F17" s="900">
        <f>'R6a - Net Debt input'!V168</f>
        <v>-53.708039499999998</v>
      </c>
      <c r="G17" s="900">
        <f>'R6a - Net Debt input'!W168</f>
        <v>-50.28463051</v>
      </c>
      <c r="H17" s="900">
        <f>'R6a - Net Debt input'!X168</f>
        <v>-46.510118600000006</v>
      </c>
    </row>
    <row r="18" spans="2:10">
      <c r="B18" s="52" t="s">
        <v>618</v>
      </c>
      <c r="C18" s="46" t="s">
        <v>230</v>
      </c>
      <c r="D18" s="900">
        <f>'R6a - Net Debt input'!T226</f>
        <v>-7.2999999999999972</v>
      </c>
      <c r="E18" s="900">
        <f>'R6a - Net Debt input'!U226</f>
        <v>-7.3770013600000022</v>
      </c>
      <c r="F18" s="900">
        <f>'R6a - Net Debt input'!V226</f>
        <v>-8.6735842900000009</v>
      </c>
      <c r="G18" s="900">
        <f>'R6a - Net Debt input'!W226</f>
        <v>-9.483001269999999</v>
      </c>
      <c r="H18" s="900">
        <f>'R6a - Net Debt input'!X226</f>
        <v>-9.4447597099999996</v>
      </c>
    </row>
    <row r="19" spans="2:10">
      <c r="B19" s="52" t="s">
        <v>619</v>
      </c>
      <c r="C19" s="46" t="s">
        <v>230</v>
      </c>
      <c r="D19" s="900">
        <f>'R6a - Net Debt input'!T278</f>
        <v>0</v>
      </c>
      <c r="E19" s="900">
        <f>'R6a - Net Debt input'!U278</f>
        <v>0</v>
      </c>
      <c r="F19" s="900">
        <f>'R6a - Net Debt input'!V278</f>
        <v>0</v>
      </c>
      <c r="G19" s="900">
        <f>'R6a - Net Debt input'!W278</f>
        <v>0</v>
      </c>
      <c r="H19" s="900">
        <f>'R6a - Net Debt input'!X278</f>
        <v>0</v>
      </c>
    </row>
    <row r="20" spans="2:10">
      <c r="B20" s="52" t="s">
        <v>620</v>
      </c>
      <c r="C20" s="46" t="s">
        <v>230</v>
      </c>
      <c r="D20" s="900">
        <f>'R6a - Net Debt input'!T295</f>
        <v>0</v>
      </c>
      <c r="E20" s="900">
        <f>'R6a - Net Debt input'!U295</f>
        <v>0</v>
      </c>
      <c r="F20" s="900">
        <f>'R6a - Net Debt input'!V295</f>
        <v>0</v>
      </c>
      <c r="G20" s="900">
        <f>'R6a - Net Debt input'!W295</f>
        <v>0</v>
      </c>
      <c r="H20" s="900">
        <f>'R6a - Net Debt input'!X295</f>
        <v>0</v>
      </c>
    </row>
    <row r="21" spans="2:10">
      <c r="B21" s="52" t="s">
        <v>621</v>
      </c>
      <c r="C21" s="46" t="s">
        <v>230</v>
      </c>
      <c r="D21" s="900">
        <f>'R6a - Net Debt input'!T313</f>
        <v>0</v>
      </c>
      <c r="E21" s="900">
        <f>'R6a - Net Debt input'!U313</f>
        <v>0</v>
      </c>
      <c r="F21" s="900">
        <f>'R6a - Net Debt input'!V313</f>
        <v>0</v>
      </c>
      <c r="G21" s="900">
        <f>'R6a - Net Debt input'!W313</f>
        <v>0</v>
      </c>
      <c r="H21" s="900">
        <f>'R6a - Net Debt input'!X313</f>
        <v>0</v>
      </c>
    </row>
    <row r="22" spans="2:10">
      <c r="B22" s="52" t="s">
        <v>622</v>
      </c>
      <c r="C22" s="46" t="s">
        <v>230</v>
      </c>
      <c r="D22" s="900">
        <f>'R6a - Net Debt input'!T338</f>
        <v>2.7</v>
      </c>
      <c r="E22" s="900">
        <f>'R6a - Net Debt input'!U338</f>
        <v>1.7000000000000002</v>
      </c>
      <c r="F22" s="900">
        <f>'R6a - Net Debt input'!V338</f>
        <v>1.7000000000000002</v>
      </c>
      <c r="G22" s="900">
        <f>'R6a - Net Debt input'!W338</f>
        <v>1.7000000000000002</v>
      </c>
      <c r="H22" s="900">
        <f>'R6a - Net Debt input'!X338</f>
        <v>1.7000000000000002</v>
      </c>
    </row>
    <row r="23" spans="2:10">
      <c r="B23" s="52" t="s">
        <v>623</v>
      </c>
      <c r="C23" s="46" t="s">
        <v>230</v>
      </c>
      <c r="D23" s="900">
        <f>'R6a - Net Debt input'!T354</f>
        <v>0</v>
      </c>
      <c r="E23" s="900">
        <f>'R6a - Net Debt input'!U354</f>
        <v>0</v>
      </c>
      <c r="F23" s="900">
        <f>'R6a - Net Debt input'!V354</f>
        <v>0</v>
      </c>
      <c r="G23" s="900">
        <f>'R6a - Net Debt input'!W354</f>
        <v>0</v>
      </c>
      <c r="H23" s="900">
        <f>'R6a - Net Debt input'!X354</f>
        <v>0</v>
      </c>
    </row>
    <row r="24" spans="2:10">
      <c r="B24" s="6" t="s">
        <v>624</v>
      </c>
      <c r="C24" s="66" t="s">
        <v>230</v>
      </c>
      <c r="D24" s="936">
        <f>SUM(D11:D23)</f>
        <v>3659.7999999999993</v>
      </c>
      <c r="E24" s="936">
        <f t="shared" ref="E24:H24" si="3">SUM(E11:E23)</f>
        <v>3517.4929565705293</v>
      </c>
      <c r="F24" s="936">
        <f t="shared" si="3"/>
        <v>3627.2295319702207</v>
      </c>
      <c r="G24" s="936">
        <f t="shared" si="3"/>
        <v>3599.3345032260308</v>
      </c>
      <c r="H24" s="936">
        <f t="shared" si="3"/>
        <v>3649.5556264534989</v>
      </c>
      <c r="I24" s="2"/>
      <c r="J24" s="72"/>
    </row>
    <row r="25" spans="2:10">
      <c r="B25" s="6"/>
      <c r="C25" s="46"/>
      <c r="D25" s="67"/>
      <c r="E25" s="67"/>
      <c r="F25" s="67"/>
      <c r="G25" s="67"/>
      <c r="H25" s="67"/>
      <c r="I25" s="2"/>
      <c r="J25" s="2"/>
    </row>
    <row r="26" spans="2:10">
      <c r="B26" s="6" t="s">
        <v>625</v>
      </c>
      <c r="C26" s="8"/>
      <c r="D26" s="937"/>
      <c r="E26" s="937"/>
      <c r="F26" s="937"/>
      <c r="G26" s="937"/>
      <c r="H26" s="937"/>
      <c r="I26" s="2"/>
      <c r="J26" s="2"/>
    </row>
    <row r="27" spans="2:10">
      <c r="B27" s="127" t="str">
        <f>'R6a - Net Debt input'!D384</f>
        <v>Unamortised Issue Costs</v>
      </c>
      <c r="C27" s="46" t="s">
        <v>230</v>
      </c>
      <c r="D27" s="901">
        <f>'R6a - Net Debt input'!T384</f>
        <v>0</v>
      </c>
      <c r="E27" s="901">
        <f>'R6a - Net Debt input'!U384</f>
        <v>0</v>
      </c>
      <c r="F27" s="901">
        <f>'R6a - Net Debt input'!V384</f>
        <v>0</v>
      </c>
      <c r="G27" s="901">
        <f>'R6a - Net Debt input'!W384</f>
        <v>0</v>
      </c>
      <c r="H27" s="901">
        <f>'R6a - Net Debt input'!X384</f>
        <v>0</v>
      </c>
      <c r="I27" s="2"/>
      <c r="J27" s="2"/>
    </row>
    <row r="28" spans="2:10">
      <c r="B28" s="127" t="str">
        <f>'R6a - Net Debt input'!D385</f>
        <v>Fixed asset investments not readily convertible to cash</v>
      </c>
      <c r="C28" s="46" t="s">
        <v>230</v>
      </c>
      <c r="D28" s="901">
        <f>'R6a - Net Debt input'!T385</f>
        <v>0</v>
      </c>
      <c r="E28" s="901">
        <f>'R6a - Net Debt input'!U385</f>
        <v>0</v>
      </c>
      <c r="F28" s="901">
        <f>'R6a - Net Debt input'!V385</f>
        <v>0</v>
      </c>
      <c r="G28" s="901">
        <f>'R6a - Net Debt input'!W385</f>
        <v>0</v>
      </c>
      <c r="H28" s="901">
        <f>'R6a - Net Debt input'!X385</f>
        <v>0</v>
      </c>
      <c r="I28" s="2"/>
      <c r="J28" s="2"/>
    </row>
    <row r="29" spans="2:10">
      <c r="B29" s="127" t="str">
        <f>'R6a - Net Debt input'!D386</f>
        <v>Preference shares</v>
      </c>
      <c r="C29" s="46" t="s">
        <v>230</v>
      </c>
      <c r="D29" s="901">
        <f>'R6a - Net Debt input'!T386</f>
        <v>0</v>
      </c>
      <c r="E29" s="901">
        <f>'R6a - Net Debt input'!U386</f>
        <v>0</v>
      </c>
      <c r="F29" s="901">
        <f>'R6a - Net Debt input'!V386</f>
        <v>0</v>
      </c>
      <c r="G29" s="901">
        <f>'R6a - Net Debt input'!W386</f>
        <v>0</v>
      </c>
      <c r="H29" s="901">
        <f>'R6a - Net Debt input'!X386</f>
        <v>0</v>
      </c>
      <c r="I29" s="2"/>
      <c r="J29" s="2"/>
    </row>
    <row r="30" spans="2:10">
      <c r="B30" s="127" t="str">
        <f>'R6a - Net Debt input'!D387</f>
        <v>Long term loans (Not for benefit of regulated business or distribution in nature)</v>
      </c>
      <c r="C30" s="46" t="s">
        <v>230</v>
      </c>
      <c r="D30" s="901">
        <f>'R6a - Net Debt input'!T387</f>
        <v>0</v>
      </c>
      <c r="E30" s="901">
        <f>'R6a - Net Debt input'!U387</f>
        <v>0</v>
      </c>
      <c r="F30" s="901">
        <f>'R6a - Net Debt input'!V387</f>
        <v>0</v>
      </c>
      <c r="G30" s="901">
        <f>'R6a - Net Debt input'!W387</f>
        <v>0</v>
      </c>
      <c r="H30" s="901">
        <f>'R6a - Net Debt input'!X387</f>
        <v>0</v>
      </c>
      <c r="I30" s="2"/>
      <c r="J30" s="2"/>
    </row>
    <row r="31" spans="2:10">
      <c r="B31" s="127" t="str">
        <f>'R6a - Net Debt input'!D388</f>
        <v>1. Gas Distribution share of net debt</v>
      </c>
      <c r="C31" s="46" t="s">
        <v>230</v>
      </c>
      <c r="D31" s="901">
        <f>'R6a - Net Debt input'!T388</f>
        <v>0</v>
      </c>
      <c r="E31" s="901">
        <f>'R6a - Net Debt input'!U388</f>
        <v>0</v>
      </c>
      <c r="F31" s="901">
        <f>'R6a - Net Debt input'!V388</f>
        <v>0</v>
      </c>
      <c r="G31" s="901">
        <f>'R6a - Net Debt input'!W388</f>
        <v>0</v>
      </c>
      <c r="H31" s="901">
        <f>'R6a - Net Debt input'!X388</f>
        <v>0</v>
      </c>
      <c r="I31" s="2"/>
      <c r="J31" s="2"/>
    </row>
    <row r="32" spans="2:10">
      <c r="B32" s="127" t="str">
        <f>'R6a - Net Debt input'!D389</f>
        <v>2. Non-regulated businesses share of net debt (primarily Metering business)</v>
      </c>
      <c r="C32" s="46" t="s">
        <v>230</v>
      </c>
      <c r="D32" s="901">
        <f>'R6a - Net Debt input'!T389</f>
        <v>-124.3674946666504</v>
      </c>
      <c r="E32" s="901">
        <f>'R6a - Net Debt input'!U389</f>
        <v>-124.3674946666504</v>
      </c>
      <c r="F32" s="901">
        <f>'R6a - Net Debt input'!V389</f>
        <v>-124.3674946666504</v>
      </c>
      <c r="G32" s="901">
        <f>'R6a - Net Debt input'!W389</f>
        <v>-124.3674946666504</v>
      </c>
      <c r="H32" s="901">
        <f>'R6a - Net Debt input'!X389</f>
        <v>-124.3674946666504</v>
      </c>
      <c r="I32" s="2"/>
      <c r="J32" s="2"/>
    </row>
    <row r="33" spans="2:11" ht="12.75" customHeight="1">
      <c r="B33" s="127" t="str">
        <f>'R6a - Net Debt input'!D390</f>
        <v>3. GSO share of net debt</v>
      </c>
      <c r="C33" s="46" t="s">
        <v>230</v>
      </c>
      <c r="D33" s="901">
        <f>'R6a - Net Debt input'!T390</f>
        <v>-82.493023581477615</v>
      </c>
      <c r="E33" s="901">
        <f>'R6a - Net Debt input'!U390</f>
        <v>-82.493023581477615</v>
      </c>
      <c r="F33" s="901">
        <f>'R6a - Net Debt input'!V390</f>
        <v>-82.493023581477615</v>
      </c>
      <c r="G33" s="901">
        <f>'R6a - Net Debt input'!W390</f>
        <v>-82.493023581477615</v>
      </c>
      <c r="H33" s="901">
        <f>'R6a - Net Debt input'!X390</f>
        <v>-82.493023581477615</v>
      </c>
      <c r="I33" s="2"/>
      <c r="J33" s="2"/>
    </row>
    <row r="34" spans="2:11">
      <c r="B34" s="127" t="str">
        <f>'R6a - Net Debt input'!D391</f>
        <v>4. Fair value adjustments</v>
      </c>
      <c r="C34" s="46" t="s">
        <v>230</v>
      </c>
      <c r="D34" s="901">
        <f>'R6a - Net Debt input'!T391</f>
        <v>64.665000000000006</v>
      </c>
      <c r="E34" s="901">
        <f>'R6a - Net Debt input'!U391</f>
        <v>64.665000000000006</v>
      </c>
      <c r="F34" s="901">
        <f>'R6a - Net Debt input'!V391</f>
        <v>64.665000000000006</v>
      </c>
      <c r="G34" s="901">
        <f>'R6a - Net Debt input'!W391</f>
        <v>64.665000000000006</v>
      </c>
      <c r="H34" s="901">
        <f>'R6a - Net Debt input'!X391</f>
        <v>64.665000000000006</v>
      </c>
      <c r="I34" s="2"/>
      <c r="J34" s="2"/>
    </row>
    <row r="35" spans="2:11">
      <c r="B35" s="127" t="str">
        <f>'R6a - Net Debt input'!D392</f>
        <v>5. Accrued interest</v>
      </c>
      <c r="C35" s="46" t="s">
        <v>230</v>
      </c>
      <c r="D35" s="901">
        <f>'R6a - Net Debt input'!T392</f>
        <v>-6.6980000000000004</v>
      </c>
      <c r="E35" s="901">
        <f>'R6a - Net Debt input'!U392</f>
        <v>-6.6980000000000004</v>
      </c>
      <c r="F35" s="901">
        <f>'R6a - Net Debt input'!V392</f>
        <v>-6.6980000000000004</v>
      </c>
      <c r="G35" s="901">
        <f>'R6a - Net Debt input'!W392</f>
        <v>-6.6980000000000004</v>
      </c>
      <c r="H35" s="901">
        <f>'R6a - Net Debt input'!X392</f>
        <v>-6.6980000000000004</v>
      </c>
      <c r="I35" s="2"/>
      <c r="J35" s="2"/>
    </row>
    <row r="36" spans="2:11">
      <c r="B36" s="127" t="str">
        <f>'R6a - Net Debt input'!D393</f>
        <v>6. Derivatives - other than cross currency swaps</v>
      </c>
      <c r="C36" s="46" t="s">
        <v>230</v>
      </c>
      <c r="D36" s="901">
        <f>'R6a - Net Debt input'!T393</f>
        <v>5.6999999999999975</v>
      </c>
      <c r="E36" s="901">
        <f>'R6a - Net Debt input'!U393</f>
        <v>0</v>
      </c>
      <c r="F36" s="901">
        <f>'R6a - Net Debt input'!V393</f>
        <v>0</v>
      </c>
      <c r="G36" s="901">
        <f>'R6a - Net Debt input'!W393</f>
        <v>0</v>
      </c>
      <c r="H36" s="901">
        <f>'R6a - Net Debt input'!X393</f>
        <v>0</v>
      </c>
      <c r="I36" s="2"/>
      <c r="J36" s="2"/>
    </row>
    <row r="37" spans="2:11">
      <c r="B37" s="127" t="str">
        <f>'R6a - Net Debt input'!D394</f>
        <v>7. IFRS 16 Right of Use Lease Liability</v>
      </c>
      <c r="C37" s="46" t="s">
        <v>230</v>
      </c>
      <c r="D37" s="901">
        <f>'R6a - Net Debt input'!T394</f>
        <v>-10.7</v>
      </c>
      <c r="E37" s="901">
        <f>'R6a - Net Debt input'!U394</f>
        <v>-10.7</v>
      </c>
      <c r="F37" s="901">
        <f>'R6a - Net Debt input'!V394</f>
        <v>-10.7</v>
      </c>
      <c r="G37" s="901">
        <f>'R6a - Net Debt input'!W394</f>
        <v>-10.7</v>
      </c>
      <c r="H37" s="901">
        <f>'R6a - Net Debt input'!X394</f>
        <v>-10.7</v>
      </c>
      <c r="I37" s="2"/>
      <c r="J37" s="2"/>
    </row>
    <row r="38" spans="2:11">
      <c r="B38" s="127" t="str">
        <f>'R6a - Net Debt input'!D395</f>
        <v>8. [Insert adjustment as necessary]</v>
      </c>
      <c r="C38" s="46" t="s">
        <v>230</v>
      </c>
      <c r="D38" s="901">
        <f>'R6a - Net Debt input'!T395</f>
        <v>0</v>
      </c>
      <c r="E38" s="901">
        <f>'R6a - Net Debt input'!U395</f>
        <v>0</v>
      </c>
      <c r="F38" s="901">
        <f>'R6a - Net Debt input'!V395</f>
        <v>0</v>
      </c>
      <c r="G38" s="901">
        <f>'R6a - Net Debt input'!W395</f>
        <v>0</v>
      </c>
      <c r="H38" s="901">
        <f>'R6a - Net Debt input'!X395</f>
        <v>0</v>
      </c>
      <c r="I38" s="2"/>
      <c r="J38" s="2"/>
      <c r="K38" s="306"/>
    </row>
    <row r="39" spans="2:11">
      <c r="B39" s="127" t="str">
        <f>'R6a - Net Debt input'!D396</f>
        <v>9. [Insert adjustment as necessary]</v>
      </c>
      <c r="C39" s="46" t="s">
        <v>230</v>
      </c>
      <c r="D39" s="901">
        <f>'R6a - Net Debt input'!T396</f>
        <v>0</v>
      </c>
      <c r="E39" s="901">
        <f>'R6a - Net Debt input'!U396</f>
        <v>0</v>
      </c>
      <c r="F39" s="901">
        <f>'R6a - Net Debt input'!V396</f>
        <v>0</v>
      </c>
      <c r="G39" s="901">
        <f>'R6a - Net Debt input'!W396</f>
        <v>0</v>
      </c>
      <c r="H39" s="901">
        <f>'R6a - Net Debt input'!X396</f>
        <v>0</v>
      </c>
    </row>
    <row r="40" spans="2:11">
      <c r="B40" s="127" t="str">
        <f>'R6a - Net Debt input'!D397</f>
        <v>10. [Insert adjustment as necessary]</v>
      </c>
      <c r="C40" s="46" t="s">
        <v>230</v>
      </c>
      <c r="D40" s="901">
        <f>'R6a - Net Debt input'!T397</f>
        <v>0</v>
      </c>
      <c r="E40" s="901">
        <f>'R6a - Net Debt input'!U397</f>
        <v>0</v>
      </c>
      <c r="F40" s="901">
        <f>'R6a - Net Debt input'!V397</f>
        <v>0</v>
      </c>
      <c r="G40" s="901">
        <f>'R6a - Net Debt input'!W397</f>
        <v>0</v>
      </c>
      <c r="H40" s="901">
        <f>'R6a - Net Debt input'!X397</f>
        <v>0</v>
      </c>
    </row>
    <row r="41" spans="2:11">
      <c r="B41" s="127" t="str">
        <f>'R6a - Net Debt input'!D398</f>
        <v>11. [Insert adjustment as necessary]</v>
      </c>
      <c r="C41" s="46" t="s">
        <v>230</v>
      </c>
      <c r="D41" s="901">
        <f>'R6a - Net Debt input'!T398</f>
        <v>0</v>
      </c>
      <c r="E41" s="901">
        <f>'R6a - Net Debt input'!U398</f>
        <v>0</v>
      </c>
      <c r="F41" s="901">
        <f>'R6a - Net Debt input'!V398</f>
        <v>0</v>
      </c>
      <c r="G41" s="901">
        <f>'R6a - Net Debt input'!W398</f>
        <v>0</v>
      </c>
      <c r="H41" s="901">
        <f>'R6a - Net Debt input'!X398</f>
        <v>0</v>
      </c>
    </row>
    <row r="42" spans="2:11">
      <c r="B42" s="127" t="str">
        <f>'R6a - Net Debt input'!D399</f>
        <v>12. [Insert adjustment as necessary]</v>
      </c>
      <c r="C42" s="46" t="s">
        <v>230</v>
      </c>
      <c r="D42" s="901">
        <f>'R6a - Net Debt input'!T399</f>
        <v>0</v>
      </c>
      <c r="E42" s="901">
        <f>'R6a - Net Debt input'!U399</f>
        <v>0</v>
      </c>
      <c r="F42" s="901">
        <f>'R6a - Net Debt input'!V399</f>
        <v>0</v>
      </c>
      <c r="G42" s="901">
        <f>'R6a - Net Debt input'!W399</f>
        <v>0</v>
      </c>
      <c r="H42" s="901">
        <f>'R6a - Net Debt input'!X399</f>
        <v>0</v>
      </c>
    </row>
    <row r="43" spans="2:11">
      <c r="B43" s="361" t="s">
        <v>626</v>
      </c>
      <c r="C43" s="46" t="s">
        <v>230</v>
      </c>
      <c r="D43" s="882">
        <f>SUM(D24,D27:D42)</f>
        <v>3505.9064817518711</v>
      </c>
      <c r="E43" s="882">
        <f t="shared" ref="E43:H43" si="4">SUM(E24,E27:E42)</f>
        <v>3357.8994383224012</v>
      </c>
      <c r="F43" s="882">
        <f t="shared" si="4"/>
        <v>3467.6360137220927</v>
      </c>
      <c r="G43" s="882">
        <f t="shared" si="4"/>
        <v>3439.7409849779028</v>
      </c>
      <c r="H43" s="882">
        <f t="shared" si="4"/>
        <v>3489.9621082053709</v>
      </c>
    </row>
    <row r="44" spans="2:11">
      <c r="B44" s="128" t="s">
        <v>627</v>
      </c>
      <c r="C44" s="46" t="s">
        <v>230</v>
      </c>
      <c r="D44" s="903"/>
      <c r="E44" s="938">
        <v>700</v>
      </c>
      <c r="F44" s="938">
        <v>800</v>
      </c>
      <c r="G44" s="938">
        <v>700</v>
      </c>
      <c r="H44" s="938">
        <v>775</v>
      </c>
    </row>
    <row r="45" spans="2:11">
      <c r="B45" s="361" t="s">
        <v>628</v>
      </c>
      <c r="C45" s="46" t="s">
        <v>230</v>
      </c>
      <c r="D45" s="873">
        <f>SUM(D43:D44)</f>
        <v>3505.9064817518711</v>
      </c>
      <c r="E45" s="873">
        <f t="shared" ref="E45:H45" si="5">SUM(E43:E44)</f>
        <v>4057.8994383224012</v>
      </c>
      <c r="F45" s="873">
        <f t="shared" si="5"/>
        <v>4267.6360137220927</v>
      </c>
      <c r="G45" s="873">
        <f t="shared" si="5"/>
        <v>4139.7409849779033</v>
      </c>
      <c r="H45" s="873">
        <f t="shared" si="5"/>
        <v>4264.9621082053709</v>
      </c>
    </row>
    <row r="46" spans="2:11">
      <c r="D46" s="486" t="str">
        <f>IF(ABS(D43-'R6a - Net Debt input'!T400)&lt;Data!$F$7,"OK","Error")</f>
        <v>OK</v>
      </c>
      <c r="E46" s="486" t="str">
        <f>IF(ABS(E43-'R6a - Net Debt input'!U400)&lt;Data!$F$7,"OK","Error")</f>
        <v>OK</v>
      </c>
      <c r="F46" s="486" t="str">
        <f>IF(ABS(F43-'R6a - Net Debt input'!V400)&lt;Data!$F$7,"OK","Error")</f>
        <v>OK</v>
      </c>
      <c r="G46" s="486" t="str">
        <f>IF(ABS(G43-'R6a - Net Debt input'!W400)&lt;Data!$F$7,"OK","Error")</f>
        <v>OK</v>
      </c>
      <c r="H46" s="486" t="str">
        <f>IF(ABS(H43-'R6a - Net Debt input'!X400)&lt;Data!$F$7,"OK","Error")</f>
        <v>OK</v>
      </c>
    </row>
    <row r="48" spans="2:11">
      <c r="B48" s="362" t="s">
        <v>629</v>
      </c>
      <c r="C48" s="46" t="s">
        <v>230</v>
      </c>
      <c r="D48" s="938">
        <v>3627.9922495337937</v>
      </c>
      <c r="E48" s="873">
        <f>D49</f>
        <v>3505.9064817518711</v>
      </c>
      <c r="F48" s="873">
        <f t="shared" ref="F48:H48" si="6">E49</f>
        <v>4057.8994383224012</v>
      </c>
      <c r="G48" s="873">
        <f t="shared" si="6"/>
        <v>4267.6360137220927</v>
      </c>
      <c r="H48" s="873">
        <f t="shared" si="6"/>
        <v>4139.7409849779033</v>
      </c>
      <c r="I48" s="54"/>
    </row>
    <row r="49" spans="2:10">
      <c r="B49" s="362" t="s">
        <v>630</v>
      </c>
      <c r="C49" s="46" t="s">
        <v>230</v>
      </c>
      <c r="D49" s="873">
        <f>D45</f>
        <v>3505.9064817518711</v>
      </c>
      <c r="E49" s="873">
        <f>E45</f>
        <v>4057.8994383224012</v>
      </c>
      <c r="F49" s="873">
        <f t="shared" ref="F49:H49" si="7">F45</f>
        <v>4267.6360137220927</v>
      </c>
      <c r="G49" s="873">
        <f t="shared" si="7"/>
        <v>4139.7409849779033</v>
      </c>
      <c r="H49" s="873">
        <f t="shared" si="7"/>
        <v>4264.9621082053709</v>
      </c>
      <c r="I49" s="54"/>
    </row>
    <row r="50" spans="2:10">
      <c r="D50" s="921"/>
      <c r="E50" s="921"/>
      <c r="F50" s="921"/>
      <c r="G50" s="921"/>
      <c r="H50" s="921"/>
    </row>
    <row r="51" spans="2:10">
      <c r="B51" s="6" t="s">
        <v>631</v>
      </c>
    </row>
    <row r="52" spans="2:10">
      <c r="B52" t="s">
        <v>632</v>
      </c>
      <c r="C52" s="54" t="s">
        <v>194</v>
      </c>
      <c r="D52" s="939">
        <f>'R6a - Net Debt input'!T403</f>
        <v>0</v>
      </c>
      <c r="E52" s="939">
        <f>'R6a - Net Debt input'!U403</f>
        <v>0</v>
      </c>
      <c r="F52" s="939">
        <f>'R6a - Net Debt input'!V403</f>
        <v>0</v>
      </c>
      <c r="G52" s="939">
        <f>'R6a - Net Debt input'!W403</f>
        <v>0</v>
      </c>
      <c r="H52" s="939">
        <f>'R6a - Net Debt input'!X403</f>
        <v>0</v>
      </c>
    </row>
    <row r="53" spans="2:10">
      <c r="B53" t="s">
        <v>572</v>
      </c>
      <c r="C53" s="54" t="s">
        <v>194</v>
      </c>
      <c r="D53" s="934">
        <f>1-D52</f>
        <v>1</v>
      </c>
      <c r="E53" s="934">
        <f t="shared" ref="E53:H53" si="8">1-E52</f>
        <v>1</v>
      </c>
      <c r="F53" s="934">
        <f t="shared" si="8"/>
        <v>1</v>
      </c>
      <c r="G53" s="934">
        <f t="shared" si="8"/>
        <v>1</v>
      </c>
      <c r="H53" s="934">
        <f t="shared" si="8"/>
        <v>1</v>
      </c>
      <c r="J53" s="306"/>
    </row>
    <row r="54" spans="2:10">
      <c r="C54" s="54"/>
      <c r="D54" s="42"/>
      <c r="E54" s="42"/>
      <c r="F54" s="42"/>
      <c r="G54" s="42"/>
      <c r="H54" s="42"/>
      <c r="I54" s="54"/>
    </row>
    <row r="55" spans="2:10">
      <c r="B55" t="s">
        <v>633</v>
      </c>
      <c r="C55" s="46" t="s">
        <v>230</v>
      </c>
      <c r="D55" s="902">
        <f>AVERAGE(D48:D49)*D53</f>
        <v>3566.9493656428322</v>
      </c>
      <c r="E55" s="902">
        <f t="shared" ref="E55:H55" si="9">AVERAGE(E48:E49)*E53</f>
        <v>3781.9029600371359</v>
      </c>
      <c r="F55" s="902">
        <f t="shared" si="9"/>
        <v>4162.7677260222472</v>
      </c>
      <c r="G55" s="902">
        <f t="shared" si="9"/>
        <v>4203.688499349998</v>
      </c>
      <c r="H55" s="902">
        <f t="shared" si="9"/>
        <v>4202.3515465916371</v>
      </c>
    </row>
    <row r="56" spans="2:10">
      <c r="B56" t="s">
        <v>634</v>
      </c>
      <c r="C56" s="46" t="s">
        <v>230</v>
      </c>
      <c r="D56" s="902">
        <f>D57-D55</f>
        <v>2815.2608191825075</v>
      </c>
      <c r="E56" s="902">
        <f t="shared" ref="E56:H56" si="10">E57-E55</f>
        <v>2930.1742981271327</v>
      </c>
      <c r="F56" s="902">
        <f t="shared" si="10"/>
        <v>2792.8514698519548</v>
      </c>
      <c r="G56" s="902">
        <f t="shared" si="10"/>
        <v>2829.7974628572128</v>
      </c>
      <c r="H56" s="902">
        <f t="shared" si="10"/>
        <v>2814.9214097423474</v>
      </c>
    </row>
    <row r="57" spans="2:10">
      <c r="B57" t="s">
        <v>635</v>
      </c>
      <c r="C57" s="46" t="s">
        <v>230</v>
      </c>
      <c r="D57" s="940">
        <f>IF(D6=RIIO_2_start_date,AVERAGE(('R7 - RAV'!E15*'R7 - RAV'!E30),'R7 - RAV'!E32),AVERAGE('R7 - RAV'!D32:E32))</f>
        <v>6382.2101848253396</v>
      </c>
      <c r="E57" s="940">
        <f>IF(E6=RIIO_2_start_date,AVERAGE(('R7 - RAV'!F15*'R7 - RAV'!F30),'R7 - RAV'!F32),AVERAGE('R7 - RAV'!E32:F32))</f>
        <v>6712.0772581642686</v>
      </c>
      <c r="F57" s="940">
        <f>IF(F6=RIIO_2_start_date,AVERAGE(('R7 - RAV'!G15*'R7 - RAV'!G30),'R7 - RAV'!G32),AVERAGE('R7 - RAV'!F32:G32))</f>
        <v>6955.619195874202</v>
      </c>
      <c r="G57" s="940">
        <f>IF(G6=RIIO_2_start_date,AVERAGE(('R7 - RAV'!H15*'R7 - RAV'!H30),'R7 - RAV'!H32),AVERAGE('R7 - RAV'!G32:H32))</f>
        <v>7033.4859622072108</v>
      </c>
      <c r="H57" s="940">
        <f>IF(H6=RIIO_2_start_date,AVERAGE(('R7 - RAV'!I15*'R7 - RAV'!I30),'R7 - RAV'!I32),AVERAGE('R7 - RAV'!H32:I32))</f>
        <v>7017.2729563339844</v>
      </c>
    </row>
    <row r="58" spans="2:10">
      <c r="B58" t="s">
        <v>636</v>
      </c>
      <c r="C58" s="46" t="s">
        <v>194</v>
      </c>
      <c r="D58" s="857">
        <f>D55/D57</f>
        <v>0.55888936000945066</v>
      </c>
      <c r="E58" s="857">
        <f t="shared" ref="E58:H58" si="11">E55/E57</f>
        <v>0.56344747156135599</v>
      </c>
      <c r="F58" s="857">
        <f t="shared" si="11"/>
        <v>0.59847550718294584</v>
      </c>
      <c r="G58" s="857">
        <f t="shared" si="11"/>
        <v>0.59766785942810341</v>
      </c>
      <c r="H58" s="857">
        <f t="shared" si="11"/>
        <v>0.59885821354554525</v>
      </c>
    </row>
    <row r="59" spans="2:10">
      <c r="B59" t="s">
        <v>24</v>
      </c>
      <c r="C59" s="46" t="s">
        <v>194</v>
      </c>
      <c r="D59" s="941">
        <f>Data!$C$8</f>
        <v>0.6</v>
      </c>
      <c r="E59" s="941">
        <f>Data!$C$8</f>
        <v>0.6</v>
      </c>
      <c r="F59" s="941">
        <f>Data!$C$8</f>
        <v>0.6</v>
      </c>
      <c r="G59" s="941">
        <f>Data!$C$8</f>
        <v>0.6</v>
      </c>
      <c r="H59" s="941">
        <f>Data!$C$8</f>
        <v>0.6</v>
      </c>
    </row>
    <row r="60" spans="2:10">
      <c r="B60" t="s">
        <v>637</v>
      </c>
      <c r="C60" s="46" t="s">
        <v>194</v>
      </c>
      <c r="D60" s="857">
        <f t="shared" ref="D60:H60" si="12">IF(ISBLANK(D24),"n/a",D58-D59)</f>
        <v>-4.1110639990549314E-2</v>
      </c>
      <c r="E60" s="857">
        <f t="shared" si="12"/>
        <v>-3.6552528438643983E-2</v>
      </c>
      <c r="F60" s="857">
        <f t="shared" si="12"/>
        <v>-1.524492817054135E-3</v>
      </c>
      <c r="G60" s="857">
        <f t="shared" si="12"/>
        <v>-2.3321405718965682E-3</v>
      </c>
      <c r="H60" s="857">
        <f t="shared" si="12"/>
        <v>-1.1417864544547296E-3</v>
      </c>
    </row>
    <row r="62" spans="2:10">
      <c r="B62" t="s">
        <v>638</v>
      </c>
      <c r="C62" s="31" t="str">
        <f>Data!$C$9</f>
        <v>£m 18/19</v>
      </c>
      <c r="D62" s="824">
        <f>D64*D58</f>
        <v>3221.9114599603499</v>
      </c>
      <c r="E62" s="824">
        <f t="shared" ref="E62:H62" si="13">E64*E58</f>
        <v>3211.3883293901754</v>
      </c>
      <c r="F62" s="824">
        <f t="shared" si="13"/>
        <v>3406.6015262901306</v>
      </c>
      <c r="G62" s="824">
        <f t="shared" si="13"/>
        <v>3376.0513448979859</v>
      </c>
      <c r="H62" s="824">
        <f t="shared" si="13"/>
        <v>3314.1202598213727</v>
      </c>
    </row>
    <row r="63" spans="2:10">
      <c r="B63" t="s">
        <v>639</v>
      </c>
      <c r="C63" s="31" t="str">
        <f>Data!$C$9</f>
        <v>£m 18/19</v>
      </c>
      <c r="D63" s="824">
        <f>D64*(1-D58)</f>
        <v>2542.9351993245364</v>
      </c>
      <c r="E63" s="824">
        <f t="shared" ref="E63:H63" si="14">E64*(1-E58)</f>
        <v>2488.1462172662732</v>
      </c>
      <c r="F63" s="824">
        <f t="shared" si="14"/>
        <v>2285.5303745209389</v>
      </c>
      <c r="G63" s="824">
        <f t="shared" si="14"/>
        <v>2272.6568659274431</v>
      </c>
      <c r="H63" s="824">
        <f t="shared" si="14"/>
        <v>2219.94470724336</v>
      </c>
    </row>
    <row r="64" spans="2:10">
      <c r="B64" t="s">
        <v>640</v>
      </c>
      <c r="C64" s="31" t="str">
        <f>Data!$C$9</f>
        <v>£m 18/19</v>
      </c>
      <c r="D64" s="942">
        <f>'R7 - RAV'!E41</f>
        <v>5764.8466592848863</v>
      </c>
      <c r="E64" s="942">
        <f>'R7 - RAV'!F41</f>
        <v>5699.5345466564486</v>
      </c>
      <c r="F64" s="942">
        <f>'R7 - RAV'!G41</f>
        <v>5692.1319008110695</v>
      </c>
      <c r="G64" s="942">
        <f>'R7 - RAV'!H41</f>
        <v>5648.708210825429</v>
      </c>
      <c r="H64" s="942">
        <f>'R7 - RAV'!I41</f>
        <v>5534.0649670647326</v>
      </c>
    </row>
    <row r="65" spans="2:8">
      <c r="B65" t="s">
        <v>636</v>
      </c>
      <c r="C65" s="46" t="s">
        <v>194</v>
      </c>
      <c r="D65" s="857">
        <f>D62/D64</f>
        <v>0.55888936000945066</v>
      </c>
      <c r="E65" s="857">
        <f t="shared" ref="E65:H65" si="15">E62/E64</f>
        <v>0.56344747156135599</v>
      </c>
      <c r="F65" s="857">
        <f t="shared" si="15"/>
        <v>0.59847550718294584</v>
      </c>
      <c r="G65" s="857">
        <f t="shared" si="15"/>
        <v>0.59766785942810341</v>
      </c>
      <c r="H65" s="857">
        <f t="shared" si="15"/>
        <v>0.59885821354554525</v>
      </c>
    </row>
    <row r="66" spans="2:8">
      <c r="B66" t="s">
        <v>24</v>
      </c>
      <c r="C66" s="46" t="s">
        <v>194</v>
      </c>
      <c r="D66" s="941">
        <f>Data!$C$8</f>
        <v>0.6</v>
      </c>
      <c r="E66" s="941">
        <f>Data!$C$8</f>
        <v>0.6</v>
      </c>
      <c r="F66" s="941">
        <f>Data!$C$8</f>
        <v>0.6</v>
      </c>
      <c r="G66" s="941">
        <f>Data!$C$8</f>
        <v>0.6</v>
      </c>
      <c r="H66" s="941">
        <f>Data!$C$8</f>
        <v>0.6</v>
      </c>
    </row>
    <row r="67" spans="2:8">
      <c r="B67" t="s">
        <v>637</v>
      </c>
      <c r="C67" s="46" t="s">
        <v>194</v>
      </c>
      <c r="D67" s="857">
        <f t="shared" ref="D67:H67" si="16">IF(ISBLANK(D24),"n/a",D65-D66)</f>
        <v>-4.1110639990549314E-2</v>
      </c>
      <c r="E67" s="857">
        <f t="shared" si="16"/>
        <v>-3.6552528438643983E-2</v>
      </c>
      <c r="F67" s="857">
        <f t="shared" si="16"/>
        <v>-1.524492817054135E-3</v>
      </c>
      <c r="G67" s="857">
        <f t="shared" si="16"/>
        <v>-2.3321405718965682E-3</v>
      </c>
      <c r="H67" s="857">
        <f t="shared" si="16"/>
        <v>-1.1417864544547296E-3</v>
      </c>
    </row>
  </sheetData>
  <sheetProtection algorithmName="SHA-512" hashValue="TkI6lImacujrXXGr8pYpLGY2yR30xkp1b/fTrzNGgmItV05xcqaifz7l3dsrouXh1hyDYCppqYp2ZxUtwkpDNA==" saltValue="i7w7kxaxfyoJ3rwwWDp8Nw==" spinCount="100000" sheet="1" objects="1" scenarios="1"/>
  <conditionalFormatting sqref="D44">
    <cfRule type="expression" dxfId="36" priority="3">
      <formula>C$12="N/A"</formula>
    </cfRule>
  </conditionalFormatting>
  <conditionalFormatting sqref="D44">
    <cfRule type="expression" dxfId="35" priority="2">
      <formula>D$5="Forecast"</formula>
    </cfRule>
  </conditionalFormatting>
  <conditionalFormatting sqref="D44:H44">
    <cfRule type="expression" dxfId="34" priority="1">
      <formula>D$5="Actuals"</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ignoredErrors>
    <ignoredError sqref="D62:H67 D58:H60" evalError="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CC"/>
  </sheetPr>
  <dimension ref="A1:XEZ438"/>
  <sheetViews>
    <sheetView showGridLines="0" zoomScale="70" zoomScaleNormal="70" zoomScaleSheetLayoutView="70" zoomScalePageLayoutView="55" workbookViewId="0">
      <pane ySplit="10" topLeftCell="A11" activePane="bottomLeft" state="frozen"/>
      <selection activeCell="B9" sqref="B9"/>
      <selection pane="bottomLeft"/>
    </sheetView>
  </sheetViews>
  <sheetFormatPr defaultColWidth="0" defaultRowHeight="13.5" outlineLevelRow="1"/>
  <cols>
    <col min="1" max="1" width="8" style="99" customWidth="1"/>
    <col min="2" max="2" width="8.61328125" style="117" customWidth="1"/>
    <col min="3" max="3" width="12.84375" style="117" customWidth="1"/>
    <col min="4" max="4" width="14.15234375" style="99" customWidth="1"/>
    <col min="5" max="5" width="11.23046875" style="99" bestFit="1" customWidth="1"/>
    <col min="6" max="6" width="90.3828125" style="99" bestFit="1" customWidth="1"/>
    <col min="7" max="7" width="13.765625" style="99" bestFit="1" customWidth="1"/>
    <col min="8" max="8" width="6.84375" style="99" customWidth="1"/>
    <col min="9" max="9" width="15.61328125" style="99" bestFit="1" customWidth="1"/>
    <col min="10" max="10" width="6.84375" style="99" customWidth="1"/>
    <col min="11" max="11" width="10.84375" style="99" bestFit="1" customWidth="1"/>
    <col min="12" max="12" width="6.84375" style="99" customWidth="1"/>
    <col min="13" max="13" width="14.4609375" style="99" customWidth="1"/>
    <col min="14" max="14" width="8.61328125" style="99" customWidth="1"/>
    <col min="15" max="15" width="49.61328125" style="99" bestFit="1" customWidth="1"/>
    <col min="16" max="16" width="12.765625" style="99" customWidth="1"/>
    <col min="17" max="17" width="24.765625" style="99" customWidth="1"/>
    <col min="18" max="19" width="17" style="99" customWidth="1"/>
    <col min="20" max="29" width="10.4609375" style="99" customWidth="1"/>
    <col min="30" max="30" width="8.61328125" style="99" customWidth="1"/>
    <col min="31" max="16369" width="0" style="99" hidden="1"/>
    <col min="16370" max="16380" width="9.15234375" style="99" hidden="1"/>
    <col min="16381" max="16384" width="2.15234375" style="99" customWidth="1"/>
  </cols>
  <sheetData>
    <row r="1" spans="1:16380" s="123" customFormat="1" ht="20">
      <c r="A1" s="677" t="s">
        <v>180</v>
      </c>
      <c r="B1" s="380"/>
      <c r="C1" s="380"/>
      <c r="D1" s="382"/>
      <c r="E1" s="382"/>
      <c r="F1" s="382"/>
      <c r="G1" s="382"/>
      <c r="H1" s="382"/>
      <c r="I1" s="390"/>
      <c r="J1" s="390"/>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383"/>
      <c r="EE1" s="383"/>
      <c r="EF1" s="383"/>
      <c r="EG1" s="383"/>
      <c r="EH1" s="383"/>
      <c r="EI1" s="383"/>
      <c r="EJ1" s="383"/>
      <c r="EK1" s="383"/>
      <c r="EL1" s="383"/>
      <c r="EM1" s="383"/>
      <c r="EN1" s="383"/>
      <c r="EO1" s="383"/>
      <c r="EP1" s="383"/>
      <c r="EQ1" s="383"/>
      <c r="ER1" s="383"/>
      <c r="ES1" s="383"/>
      <c r="ET1" s="383"/>
      <c r="EU1" s="383"/>
      <c r="EV1" s="383"/>
      <c r="EW1" s="383"/>
      <c r="EX1" s="383"/>
      <c r="EY1" s="383"/>
      <c r="EZ1" s="383"/>
      <c r="FA1" s="383"/>
      <c r="FB1" s="383"/>
      <c r="FC1" s="383"/>
      <c r="FD1" s="383"/>
      <c r="FE1" s="383"/>
      <c r="FF1" s="383"/>
      <c r="FG1" s="383"/>
      <c r="FH1" s="383"/>
      <c r="FI1" s="383"/>
      <c r="FJ1" s="383"/>
      <c r="FK1" s="383"/>
      <c r="FL1" s="383"/>
      <c r="FM1" s="383"/>
      <c r="FN1" s="383"/>
      <c r="FO1" s="383"/>
      <c r="FP1" s="383"/>
      <c r="FQ1" s="383"/>
      <c r="FR1" s="383"/>
      <c r="FS1" s="383"/>
      <c r="FT1" s="383"/>
      <c r="FU1" s="383"/>
      <c r="FV1" s="383"/>
      <c r="FW1" s="383"/>
      <c r="FX1" s="383"/>
      <c r="FY1" s="383"/>
      <c r="FZ1" s="383"/>
      <c r="GA1" s="383"/>
      <c r="GB1" s="383"/>
      <c r="GC1" s="383"/>
      <c r="GD1" s="383"/>
      <c r="GE1" s="383"/>
      <c r="GF1" s="383"/>
      <c r="GG1" s="383"/>
      <c r="GH1" s="383"/>
      <c r="GI1" s="383"/>
      <c r="GJ1" s="383"/>
      <c r="GK1" s="383"/>
      <c r="GL1" s="383"/>
      <c r="GM1" s="383"/>
      <c r="GN1" s="383"/>
      <c r="GO1" s="383"/>
      <c r="GP1" s="383"/>
      <c r="GQ1" s="383"/>
      <c r="GR1" s="383"/>
      <c r="GS1" s="383"/>
      <c r="GT1" s="383"/>
      <c r="GU1" s="383"/>
      <c r="GV1" s="383"/>
      <c r="GW1" s="383"/>
      <c r="GX1" s="383"/>
      <c r="GY1" s="383"/>
      <c r="GZ1" s="383"/>
      <c r="HA1" s="383"/>
      <c r="HB1" s="383"/>
      <c r="HC1" s="383"/>
      <c r="HD1" s="383"/>
      <c r="HE1" s="383"/>
      <c r="HF1" s="383"/>
      <c r="HG1" s="383"/>
      <c r="HH1" s="383"/>
      <c r="HI1" s="383"/>
      <c r="HJ1" s="383"/>
      <c r="HK1" s="383"/>
      <c r="HL1" s="383"/>
      <c r="HM1" s="383"/>
      <c r="HN1" s="383"/>
      <c r="HO1" s="383"/>
      <c r="HP1" s="383"/>
      <c r="HQ1" s="383"/>
      <c r="HR1" s="383"/>
      <c r="HS1" s="383"/>
      <c r="HT1" s="383"/>
      <c r="HU1" s="383"/>
      <c r="HV1" s="383"/>
      <c r="HW1" s="383"/>
      <c r="HX1" s="383"/>
      <c r="HY1" s="383"/>
      <c r="HZ1" s="383"/>
      <c r="IA1" s="383"/>
      <c r="IB1" s="383"/>
      <c r="IC1" s="383"/>
      <c r="ID1" s="383"/>
      <c r="IE1" s="383"/>
      <c r="IF1" s="383"/>
      <c r="IG1" s="383"/>
      <c r="IH1" s="383"/>
      <c r="II1" s="383"/>
      <c r="IJ1" s="383"/>
      <c r="IK1" s="383"/>
      <c r="IL1" s="383"/>
      <c r="IM1" s="383"/>
      <c r="IN1" s="383"/>
      <c r="IO1" s="383"/>
      <c r="IP1" s="383"/>
      <c r="IQ1" s="383"/>
      <c r="IR1" s="383"/>
      <c r="IS1" s="383"/>
      <c r="IT1" s="383"/>
      <c r="IU1" s="383"/>
      <c r="IV1" s="383"/>
      <c r="IW1" s="383"/>
      <c r="IX1" s="383"/>
      <c r="IY1" s="383"/>
      <c r="IZ1" s="383"/>
      <c r="JA1" s="383"/>
      <c r="JB1" s="383"/>
      <c r="JC1" s="383"/>
      <c r="JD1" s="383"/>
      <c r="JE1" s="383"/>
      <c r="JF1" s="383"/>
      <c r="JG1" s="383"/>
      <c r="JH1" s="383"/>
      <c r="JI1" s="383"/>
      <c r="JJ1" s="383"/>
      <c r="JK1" s="383"/>
      <c r="JL1" s="383"/>
      <c r="JM1" s="383"/>
      <c r="JN1" s="383"/>
      <c r="JO1" s="383"/>
      <c r="JP1" s="383"/>
      <c r="JQ1" s="383"/>
      <c r="JR1" s="383"/>
      <c r="JS1" s="383"/>
      <c r="JT1" s="383"/>
      <c r="JU1" s="383"/>
      <c r="JV1" s="383"/>
      <c r="JW1" s="383"/>
      <c r="JX1" s="383"/>
      <c r="JY1" s="383"/>
      <c r="JZ1" s="383"/>
      <c r="KA1" s="383"/>
      <c r="KB1" s="383"/>
      <c r="KC1" s="383"/>
      <c r="KD1" s="383"/>
      <c r="KE1" s="383"/>
      <c r="KF1" s="383"/>
      <c r="KG1" s="383"/>
      <c r="KH1" s="383"/>
      <c r="KI1" s="383"/>
      <c r="KJ1" s="383"/>
      <c r="KK1" s="383"/>
      <c r="KL1" s="383"/>
      <c r="KM1" s="383"/>
      <c r="KN1" s="383"/>
      <c r="KO1" s="383"/>
      <c r="KP1" s="383"/>
      <c r="KQ1" s="383"/>
      <c r="KR1" s="383"/>
      <c r="KS1" s="383"/>
      <c r="KT1" s="383"/>
      <c r="KU1" s="383"/>
      <c r="KV1" s="383"/>
      <c r="KW1" s="383"/>
      <c r="KX1" s="383"/>
      <c r="KY1" s="383"/>
      <c r="KZ1" s="383"/>
      <c r="LA1" s="383"/>
      <c r="LB1" s="383"/>
      <c r="LC1" s="383"/>
      <c r="LD1" s="383"/>
      <c r="LE1" s="383"/>
      <c r="LF1" s="383"/>
      <c r="LG1" s="383"/>
      <c r="LH1" s="383"/>
      <c r="LI1" s="383"/>
      <c r="LJ1" s="383"/>
      <c r="LK1" s="383"/>
      <c r="LL1" s="383"/>
      <c r="LM1" s="383"/>
      <c r="LN1" s="383"/>
      <c r="LO1" s="383"/>
      <c r="LP1" s="383"/>
      <c r="LQ1" s="383"/>
      <c r="LR1" s="383"/>
      <c r="LS1" s="383"/>
      <c r="LT1" s="383"/>
      <c r="LU1" s="383"/>
      <c r="LV1" s="383"/>
      <c r="LW1" s="383"/>
      <c r="LX1" s="383"/>
      <c r="LY1" s="383"/>
      <c r="LZ1" s="383"/>
      <c r="MA1" s="383"/>
      <c r="MB1" s="383"/>
      <c r="MC1" s="383"/>
      <c r="MD1" s="383"/>
      <c r="ME1" s="383"/>
      <c r="MF1" s="383"/>
      <c r="MG1" s="383"/>
      <c r="MH1" s="383"/>
      <c r="MI1" s="383"/>
      <c r="MJ1" s="383"/>
      <c r="MK1" s="383"/>
      <c r="ML1" s="383"/>
      <c r="MM1" s="383"/>
      <c r="MN1" s="383"/>
      <c r="MO1" s="383"/>
      <c r="MP1" s="383"/>
      <c r="MQ1" s="383"/>
      <c r="MR1" s="383"/>
      <c r="MS1" s="383"/>
      <c r="MT1" s="383"/>
      <c r="MU1" s="383"/>
      <c r="MV1" s="383"/>
      <c r="MW1" s="383"/>
      <c r="MX1" s="383"/>
      <c r="MY1" s="383"/>
      <c r="MZ1" s="383"/>
      <c r="NA1" s="383"/>
      <c r="NB1" s="383"/>
      <c r="NC1" s="383"/>
      <c r="ND1" s="383"/>
      <c r="NE1" s="383"/>
      <c r="NF1" s="383"/>
      <c r="NG1" s="383"/>
      <c r="NH1" s="383"/>
      <c r="NI1" s="383"/>
      <c r="NJ1" s="383"/>
      <c r="NK1" s="383"/>
      <c r="NL1" s="383"/>
      <c r="NM1" s="383"/>
      <c r="NN1" s="383"/>
      <c r="NO1" s="383"/>
      <c r="NP1" s="383"/>
      <c r="NQ1" s="383"/>
      <c r="NR1" s="383"/>
      <c r="NS1" s="383"/>
      <c r="NT1" s="383"/>
      <c r="NU1" s="383"/>
      <c r="NV1" s="383"/>
      <c r="NW1" s="383"/>
      <c r="NX1" s="383"/>
      <c r="NY1" s="383"/>
      <c r="NZ1" s="383"/>
      <c r="OA1" s="383"/>
      <c r="OB1" s="383"/>
      <c r="OC1" s="383"/>
      <c r="OD1" s="383"/>
      <c r="OE1" s="383"/>
      <c r="OF1" s="383"/>
      <c r="OG1" s="383"/>
      <c r="OH1" s="383"/>
      <c r="OI1" s="383"/>
      <c r="OJ1" s="383"/>
      <c r="OK1" s="383"/>
      <c r="OL1" s="383"/>
      <c r="OM1" s="383"/>
      <c r="ON1" s="383"/>
      <c r="OO1" s="383"/>
      <c r="OP1" s="383"/>
      <c r="OQ1" s="383"/>
      <c r="OR1" s="383"/>
      <c r="OS1" s="383"/>
      <c r="OT1" s="383"/>
      <c r="OU1" s="383"/>
      <c r="OV1" s="383"/>
      <c r="OW1" s="383"/>
      <c r="OX1" s="383"/>
      <c r="OY1" s="383"/>
      <c r="OZ1" s="383"/>
      <c r="PA1" s="383"/>
      <c r="PB1" s="383"/>
      <c r="PC1" s="383"/>
      <c r="PD1" s="383"/>
      <c r="PE1" s="383"/>
      <c r="PF1" s="383"/>
      <c r="PG1" s="383"/>
      <c r="PH1" s="383"/>
      <c r="PI1" s="383"/>
      <c r="PJ1" s="383"/>
      <c r="PK1" s="383"/>
      <c r="PL1" s="383"/>
      <c r="PM1" s="383"/>
      <c r="PN1" s="383"/>
      <c r="PO1" s="383"/>
      <c r="PP1" s="383"/>
      <c r="PQ1" s="383"/>
      <c r="PR1" s="383"/>
      <c r="PS1" s="383"/>
      <c r="PT1" s="383"/>
      <c r="PU1" s="383"/>
      <c r="PV1" s="383"/>
      <c r="PW1" s="383"/>
      <c r="PX1" s="383"/>
      <c r="PY1" s="383"/>
      <c r="PZ1" s="383"/>
      <c r="QA1" s="383"/>
      <c r="QB1" s="383"/>
      <c r="QC1" s="383"/>
      <c r="QD1" s="383"/>
      <c r="QE1" s="383"/>
      <c r="QF1" s="383"/>
      <c r="QG1" s="383"/>
      <c r="QH1" s="383"/>
      <c r="QI1" s="383"/>
      <c r="QJ1" s="383"/>
      <c r="QK1" s="383"/>
      <c r="QL1" s="383"/>
      <c r="QM1" s="383"/>
      <c r="QN1" s="383"/>
      <c r="QO1" s="383"/>
      <c r="QP1" s="383"/>
      <c r="QQ1" s="383"/>
      <c r="QR1" s="383"/>
      <c r="QS1" s="383"/>
      <c r="QT1" s="383"/>
      <c r="QU1" s="383"/>
      <c r="QV1" s="383"/>
      <c r="QW1" s="383"/>
      <c r="QX1" s="383"/>
      <c r="QY1" s="383"/>
      <c r="QZ1" s="383"/>
      <c r="RA1" s="383"/>
      <c r="RB1" s="383"/>
      <c r="RC1" s="383"/>
      <c r="RD1" s="383"/>
      <c r="RE1" s="383"/>
      <c r="RF1" s="383"/>
      <c r="RG1" s="383"/>
      <c r="RH1" s="383"/>
      <c r="RI1" s="383"/>
      <c r="RJ1" s="383"/>
      <c r="RK1" s="383"/>
      <c r="RL1" s="383"/>
      <c r="RM1" s="383"/>
      <c r="RN1" s="383"/>
      <c r="RO1" s="383"/>
      <c r="RP1" s="383"/>
      <c r="RQ1" s="383"/>
      <c r="RR1" s="383"/>
      <c r="RS1" s="383"/>
      <c r="RT1" s="383"/>
      <c r="RU1" s="383"/>
      <c r="RV1" s="383"/>
      <c r="RW1" s="383"/>
      <c r="RX1" s="383"/>
      <c r="RY1" s="383"/>
      <c r="RZ1" s="383"/>
      <c r="SA1" s="383"/>
      <c r="SB1" s="383"/>
      <c r="SC1" s="383"/>
      <c r="SD1" s="383"/>
      <c r="SE1" s="383"/>
      <c r="SF1" s="383"/>
      <c r="SG1" s="383"/>
      <c r="SH1" s="383"/>
      <c r="SI1" s="383"/>
      <c r="SJ1" s="383"/>
      <c r="SK1" s="383"/>
      <c r="SL1" s="383"/>
      <c r="SM1" s="383"/>
      <c r="SN1" s="383"/>
      <c r="SO1" s="383"/>
      <c r="SP1" s="383"/>
      <c r="SQ1" s="383"/>
      <c r="SR1" s="383"/>
      <c r="SS1" s="383"/>
      <c r="ST1" s="383"/>
      <c r="SU1" s="383"/>
      <c r="SV1" s="383"/>
      <c r="SW1" s="383"/>
      <c r="SX1" s="383"/>
      <c r="SY1" s="383"/>
      <c r="SZ1" s="383"/>
      <c r="TA1" s="383"/>
      <c r="TB1" s="383"/>
      <c r="TC1" s="383"/>
      <c r="TD1" s="383"/>
      <c r="TE1" s="383"/>
      <c r="TF1" s="383"/>
      <c r="TG1" s="383"/>
      <c r="TH1" s="383"/>
      <c r="TI1" s="383"/>
      <c r="TJ1" s="383"/>
      <c r="TK1" s="383"/>
      <c r="TL1" s="383"/>
      <c r="TM1" s="383"/>
      <c r="TN1" s="383"/>
      <c r="TO1" s="383"/>
      <c r="TP1" s="383"/>
      <c r="TQ1" s="383"/>
      <c r="TR1" s="383"/>
      <c r="TS1" s="383"/>
      <c r="TT1" s="383"/>
      <c r="TU1" s="383"/>
      <c r="TV1" s="383"/>
      <c r="TW1" s="383"/>
      <c r="TX1" s="383"/>
      <c r="TY1" s="383"/>
      <c r="TZ1" s="383"/>
      <c r="UA1" s="383"/>
      <c r="UB1" s="383"/>
      <c r="UC1" s="383"/>
      <c r="UD1" s="383"/>
      <c r="UE1" s="383"/>
      <c r="UF1" s="383"/>
      <c r="UG1" s="383"/>
      <c r="UH1" s="383"/>
      <c r="UI1" s="383"/>
      <c r="UJ1" s="383"/>
      <c r="UK1" s="383"/>
      <c r="UL1" s="383"/>
      <c r="UM1" s="383"/>
      <c r="UN1" s="383"/>
      <c r="UO1" s="383"/>
      <c r="UP1" s="383"/>
      <c r="UQ1" s="383"/>
      <c r="UR1" s="383"/>
      <c r="US1" s="383"/>
      <c r="UT1" s="383"/>
      <c r="UU1" s="383"/>
      <c r="UV1" s="383"/>
      <c r="UW1" s="383"/>
      <c r="UX1" s="383"/>
      <c r="UY1" s="383"/>
      <c r="UZ1" s="383"/>
      <c r="VA1" s="383"/>
      <c r="VB1" s="383"/>
      <c r="VC1" s="383"/>
      <c r="VD1" s="383"/>
      <c r="VE1" s="383"/>
      <c r="VF1" s="383"/>
      <c r="VG1" s="383"/>
      <c r="VH1" s="383"/>
      <c r="VI1" s="383"/>
      <c r="VJ1" s="383"/>
      <c r="VK1" s="383"/>
      <c r="VL1" s="383"/>
      <c r="VM1" s="383"/>
      <c r="VN1" s="383"/>
      <c r="VO1" s="383"/>
      <c r="VP1" s="383"/>
      <c r="VQ1" s="383"/>
      <c r="VR1" s="383"/>
      <c r="VS1" s="383"/>
      <c r="VT1" s="383"/>
      <c r="VU1" s="383"/>
      <c r="VV1" s="383"/>
      <c r="VW1" s="383"/>
      <c r="VX1" s="383"/>
      <c r="VY1" s="383"/>
      <c r="VZ1" s="383"/>
      <c r="WA1" s="383"/>
      <c r="WB1" s="383"/>
      <c r="WC1" s="383"/>
      <c r="WD1" s="383"/>
      <c r="WE1" s="383"/>
      <c r="WF1" s="383"/>
      <c r="WG1" s="383"/>
      <c r="WH1" s="383"/>
      <c r="WI1" s="383"/>
      <c r="WJ1" s="383"/>
      <c r="WK1" s="383"/>
      <c r="WL1" s="383"/>
      <c r="WM1" s="383"/>
      <c r="WN1" s="383"/>
      <c r="WO1" s="383"/>
      <c r="WP1" s="383"/>
      <c r="WQ1" s="383"/>
      <c r="WR1" s="383"/>
      <c r="WS1" s="383"/>
      <c r="WT1" s="383"/>
      <c r="WU1" s="383"/>
      <c r="WV1" s="383"/>
      <c r="WW1" s="383"/>
      <c r="WX1" s="383"/>
      <c r="WY1" s="383"/>
      <c r="WZ1" s="383"/>
      <c r="XA1" s="383"/>
      <c r="XB1" s="383"/>
      <c r="XC1" s="383"/>
      <c r="XD1" s="383"/>
      <c r="XE1" s="383"/>
      <c r="XF1" s="383"/>
      <c r="XG1" s="383"/>
      <c r="XH1" s="383"/>
      <c r="XI1" s="383"/>
      <c r="XJ1" s="383"/>
      <c r="XK1" s="383"/>
      <c r="XL1" s="383"/>
      <c r="XM1" s="383"/>
      <c r="XN1" s="383"/>
      <c r="XO1" s="383"/>
      <c r="XP1" s="383"/>
      <c r="XQ1" s="383"/>
      <c r="XR1" s="383"/>
      <c r="XS1" s="383"/>
      <c r="XT1" s="383"/>
      <c r="XU1" s="383"/>
      <c r="XV1" s="383"/>
      <c r="XW1" s="383"/>
      <c r="XX1" s="383"/>
      <c r="XY1" s="383"/>
      <c r="XZ1" s="383"/>
      <c r="YA1" s="383"/>
      <c r="YB1" s="383"/>
      <c r="YC1" s="383"/>
      <c r="YD1" s="383"/>
      <c r="YE1" s="383"/>
      <c r="YF1" s="383"/>
      <c r="YG1" s="383"/>
      <c r="YH1" s="383"/>
      <c r="YI1" s="383"/>
      <c r="YJ1" s="383"/>
      <c r="YK1" s="383"/>
      <c r="YL1" s="383"/>
      <c r="YM1" s="383"/>
      <c r="YN1" s="383"/>
      <c r="YO1" s="383"/>
      <c r="YP1" s="383"/>
      <c r="YQ1" s="383"/>
      <c r="YR1" s="383"/>
      <c r="YS1" s="383"/>
      <c r="YT1" s="383"/>
      <c r="YU1" s="383"/>
      <c r="YV1" s="383"/>
      <c r="YW1" s="383"/>
      <c r="YX1" s="383"/>
      <c r="YY1" s="383"/>
      <c r="YZ1" s="383"/>
      <c r="ZA1" s="383"/>
      <c r="ZB1" s="383"/>
      <c r="ZC1" s="383"/>
      <c r="ZD1" s="383"/>
      <c r="ZE1" s="383"/>
      <c r="ZF1" s="383"/>
      <c r="ZG1" s="383"/>
      <c r="ZH1" s="383"/>
      <c r="ZI1" s="383"/>
      <c r="ZJ1" s="383"/>
      <c r="ZK1" s="383"/>
      <c r="ZL1" s="383"/>
      <c r="ZM1" s="383"/>
      <c r="ZN1" s="383"/>
      <c r="ZO1" s="383"/>
      <c r="ZP1" s="383"/>
      <c r="ZQ1" s="383"/>
      <c r="ZR1" s="383"/>
      <c r="ZS1" s="383"/>
      <c r="ZT1" s="383"/>
      <c r="ZU1" s="383"/>
      <c r="ZV1" s="383"/>
      <c r="ZW1" s="383"/>
      <c r="ZX1" s="383"/>
      <c r="ZY1" s="383"/>
      <c r="ZZ1" s="383"/>
      <c r="AAA1" s="383"/>
      <c r="AAB1" s="383"/>
      <c r="AAC1" s="383"/>
      <c r="AAD1" s="383"/>
      <c r="AAE1" s="383"/>
      <c r="AAF1" s="383"/>
      <c r="AAG1" s="383"/>
      <c r="AAH1" s="383"/>
      <c r="AAI1" s="383"/>
      <c r="AAJ1" s="383"/>
      <c r="AAK1" s="383"/>
      <c r="AAL1" s="383"/>
      <c r="AAM1" s="383"/>
      <c r="AAN1" s="383"/>
      <c r="AAO1" s="383"/>
      <c r="AAP1" s="383"/>
      <c r="AAQ1" s="383"/>
      <c r="AAR1" s="383"/>
      <c r="AAS1" s="383"/>
      <c r="AAT1" s="383"/>
      <c r="AAU1" s="383"/>
      <c r="AAV1" s="383"/>
      <c r="AAW1" s="383"/>
      <c r="AAX1" s="383"/>
      <c r="AAY1" s="383"/>
      <c r="AAZ1" s="383"/>
      <c r="ABA1" s="383"/>
      <c r="ABB1" s="383"/>
      <c r="ABC1" s="383"/>
      <c r="ABD1" s="383"/>
      <c r="ABE1" s="383"/>
      <c r="ABF1" s="383"/>
      <c r="ABG1" s="383"/>
      <c r="ABH1" s="383"/>
      <c r="ABI1" s="383"/>
      <c r="ABJ1" s="383"/>
      <c r="ABK1" s="383"/>
      <c r="ABL1" s="383"/>
      <c r="ABM1" s="383"/>
      <c r="ABN1" s="383"/>
      <c r="ABO1" s="383"/>
      <c r="ABP1" s="383"/>
      <c r="ABQ1" s="383"/>
      <c r="ABR1" s="383"/>
      <c r="ABS1" s="383"/>
      <c r="ABT1" s="383"/>
      <c r="ABU1" s="383"/>
      <c r="ABV1" s="383"/>
      <c r="ABW1" s="383"/>
      <c r="ABX1" s="383"/>
      <c r="ABY1" s="383"/>
      <c r="ABZ1" s="383"/>
      <c r="ACA1" s="383"/>
      <c r="ACB1" s="383"/>
      <c r="ACC1" s="383"/>
      <c r="ACD1" s="383"/>
      <c r="ACE1" s="383"/>
      <c r="ACF1" s="383"/>
      <c r="ACG1" s="383"/>
      <c r="ACH1" s="383"/>
      <c r="ACI1" s="383"/>
      <c r="ACJ1" s="383"/>
      <c r="ACK1" s="383"/>
      <c r="ACL1" s="383"/>
      <c r="ACM1" s="383"/>
      <c r="ACN1" s="383"/>
      <c r="ACO1" s="383"/>
      <c r="ACP1" s="383"/>
      <c r="ACQ1" s="383"/>
      <c r="ACR1" s="383"/>
      <c r="ACS1" s="383"/>
      <c r="ACT1" s="383"/>
      <c r="ACU1" s="383"/>
      <c r="ACV1" s="383"/>
      <c r="ACW1" s="383"/>
      <c r="ACX1" s="383"/>
      <c r="ACY1" s="383"/>
      <c r="ACZ1" s="383"/>
      <c r="ADA1" s="383"/>
      <c r="ADB1" s="383"/>
      <c r="ADC1" s="383"/>
      <c r="ADD1" s="383"/>
      <c r="ADE1" s="383"/>
      <c r="ADF1" s="383"/>
      <c r="ADG1" s="383"/>
      <c r="ADH1" s="383"/>
      <c r="ADI1" s="383"/>
      <c r="ADJ1" s="383"/>
      <c r="ADK1" s="383"/>
      <c r="ADL1" s="383"/>
      <c r="ADM1" s="383"/>
      <c r="ADN1" s="383"/>
      <c r="ADO1" s="383"/>
      <c r="ADP1" s="383"/>
      <c r="ADQ1" s="383"/>
      <c r="ADR1" s="383"/>
      <c r="ADS1" s="383"/>
      <c r="ADT1" s="383"/>
      <c r="ADU1" s="383"/>
      <c r="ADV1" s="383"/>
      <c r="ADW1" s="383"/>
      <c r="ADX1" s="383"/>
      <c r="ADY1" s="383"/>
      <c r="ADZ1" s="383"/>
      <c r="AEA1" s="383"/>
      <c r="AEB1" s="383"/>
      <c r="AEC1" s="383"/>
      <c r="AED1" s="383"/>
      <c r="AEE1" s="383"/>
      <c r="AEF1" s="383"/>
      <c r="AEG1" s="383"/>
      <c r="AEH1" s="383"/>
      <c r="AEI1" s="383"/>
      <c r="AEJ1" s="383"/>
      <c r="AEK1" s="383"/>
      <c r="AEL1" s="383"/>
      <c r="AEM1" s="383"/>
      <c r="AEN1" s="383"/>
      <c r="AEO1" s="383"/>
      <c r="AEP1" s="383"/>
      <c r="AEQ1" s="383"/>
      <c r="AER1" s="383"/>
      <c r="AES1" s="383"/>
      <c r="AET1" s="383"/>
      <c r="AEU1" s="383"/>
      <c r="AEV1" s="383"/>
      <c r="AEW1" s="383"/>
      <c r="AEX1" s="383"/>
      <c r="AEY1" s="383"/>
      <c r="AEZ1" s="383"/>
      <c r="AFA1" s="383"/>
      <c r="AFB1" s="383"/>
      <c r="AFC1" s="383"/>
      <c r="AFD1" s="383"/>
      <c r="AFE1" s="383"/>
      <c r="AFF1" s="383"/>
      <c r="AFG1" s="383"/>
      <c r="AFH1" s="383"/>
      <c r="AFI1" s="383"/>
      <c r="AFJ1" s="383"/>
      <c r="AFK1" s="383"/>
      <c r="AFL1" s="383"/>
      <c r="AFM1" s="383"/>
      <c r="AFN1" s="383"/>
      <c r="AFO1" s="383"/>
      <c r="AFP1" s="383"/>
      <c r="AFQ1" s="383"/>
      <c r="AFR1" s="383"/>
      <c r="AFS1" s="383"/>
      <c r="AFT1" s="383"/>
      <c r="AFU1" s="383"/>
      <c r="AFV1" s="383"/>
      <c r="AFW1" s="383"/>
      <c r="AFX1" s="383"/>
      <c r="AFY1" s="383"/>
      <c r="AFZ1" s="383"/>
      <c r="AGA1" s="383"/>
      <c r="AGB1" s="383"/>
      <c r="AGC1" s="383"/>
      <c r="AGD1" s="383"/>
      <c r="AGE1" s="383"/>
      <c r="AGF1" s="383"/>
      <c r="AGG1" s="383"/>
      <c r="AGH1" s="383"/>
      <c r="AGI1" s="383"/>
      <c r="AGJ1" s="383"/>
      <c r="AGK1" s="383"/>
      <c r="AGL1" s="383"/>
      <c r="AGM1" s="383"/>
      <c r="AGN1" s="383"/>
      <c r="AGO1" s="383"/>
      <c r="AGP1" s="383"/>
      <c r="AGQ1" s="383"/>
      <c r="AGR1" s="383"/>
      <c r="AGS1" s="383"/>
      <c r="AGT1" s="383"/>
      <c r="AGU1" s="383"/>
      <c r="AGV1" s="383"/>
      <c r="AGW1" s="383"/>
      <c r="AGX1" s="383"/>
      <c r="AGY1" s="383"/>
      <c r="AGZ1" s="383"/>
      <c r="AHA1" s="383"/>
      <c r="AHB1" s="383"/>
      <c r="AHC1" s="383"/>
      <c r="AHD1" s="383"/>
      <c r="AHE1" s="383"/>
      <c r="AHF1" s="383"/>
      <c r="AHG1" s="383"/>
      <c r="AHH1" s="383"/>
      <c r="AHI1" s="383"/>
      <c r="AHJ1" s="383"/>
      <c r="AHK1" s="383"/>
      <c r="AHL1" s="383"/>
      <c r="AHM1" s="383"/>
      <c r="AHN1" s="383"/>
      <c r="AHO1" s="383"/>
      <c r="AHP1" s="383"/>
      <c r="AHQ1" s="383"/>
      <c r="AHR1" s="383"/>
      <c r="AHS1" s="383"/>
      <c r="AHT1" s="383"/>
      <c r="AHU1" s="383"/>
      <c r="AHV1" s="383"/>
      <c r="AHW1" s="383"/>
      <c r="AHX1" s="383"/>
      <c r="AHY1" s="383"/>
      <c r="AHZ1" s="383"/>
      <c r="AIA1" s="383"/>
      <c r="AIB1" s="383"/>
      <c r="AIC1" s="383"/>
      <c r="AID1" s="383"/>
      <c r="AIE1" s="383"/>
      <c r="AIF1" s="383"/>
      <c r="AIG1" s="383"/>
      <c r="AIH1" s="383"/>
      <c r="AII1" s="383"/>
      <c r="AIJ1" s="383"/>
      <c r="AIK1" s="383"/>
      <c r="AIL1" s="383"/>
      <c r="AIM1" s="383"/>
      <c r="AIN1" s="383"/>
      <c r="AIO1" s="383"/>
      <c r="AIP1" s="383"/>
      <c r="AIQ1" s="383"/>
      <c r="AIR1" s="383"/>
      <c r="AIS1" s="383"/>
      <c r="AIT1" s="383"/>
      <c r="AIU1" s="383"/>
      <c r="AIV1" s="383"/>
      <c r="AIW1" s="383"/>
      <c r="AIX1" s="383"/>
      <c r="AIY1" s="383"/>
      <c r="AIZ1" s="383"/>
      <c r="AJA1" s="383"/>
      <c r="AJB1" s="383"/>
      <c r="AJC1" s="383"/>
      <c r="AJD1" s="383"/>
      <c r="AJE1" s="383"/>
      <c r="AJF1" s="383"/>
      <c r="AJG1" s="383"/>
      <c r="AJH1" s="383"/>
      <c r="AJI1" s="383"/>
      <c r="AJJ1" s="383"/>
      <c r="AJK1" s="383"/>
      <c r="AJL1" s="383"/>
      <c r="AJM1" s="383"/>
      <c r="AJN1" s="383"/>
      <c r="AJO1" s="383"/>
      <c r="AJP1" s="383"/>
      <c r="AJQ1" s="383"/>
      <c r="AJR1" s="383"/>
      <c r="AJS1" s="383"/>
      <c r="AJT1" s="383"/>
      <c r="AJU1" s="383"/>
      <c r="AJV1" s="383"/>
      <c r="AJW1" s="383"/>
      <c r="AJX1" s="383"/>
      <c r="AJY1" s="383"/>
      <c r="AJZ1" s="383"/>
      <c r="AKA1" s="383"/>
      <c r="AKB1" s="383"/>
      <c r="AKC1" s="383"/>
      <c r="AKD1" s="383"/>
      <c r="AKE1" s="383"/>
      <c r="AKF1" s="383"/>
      <c r="AKG1" s="383"/>
      <c r="AKH1" s="383"/>
      <c r="AKI1" s="383"/>
      <c r="AKJ1" s="383"/>
      <c r="AKK1" s="383"/>
      <c r="AKL1" s="383"/>
      <c r="AKM1" s="383"/>
      <c r="AKN1" s="383"/>
      <c r="AKO1" s="383"/>
      <c r="AKP1" s="383"/>
      <c r="AKQ1" s="383"/>
      <c r="AKR1" s="383"/>
      <c r="AKS1" s="383"/>
      <c r="AKT1" s="383"/>
      <c r="AKU1" s="383"/>
      <c r="AKV1" s="383"/>
      <c r="AKW1" s="383"/>
      <c r="AKX1" s="383"/>
      <c r="AKY1" s="383"/>
      <c r="AKZ1" s="383"/>
      <c r="ALA1" s="383"/>
      <c r="ALB1" s="383"/>
      <c r="ALC1" s="383"/>
      <c r="ALD1" s="383"/>
      <c r="ALE1" s="383"/>
      <c r="ALF1" s="383"/>
      <c r="ALG1" s="383"/>
      <c r="ALH1" s="383"/>
      <c r="ALI1" s="383"/>
      <c r="ALJ1" s="383"/>
      <c r="ALK1" s="383"/>
      <c r="ALL1" s="383"/>
      <c r="ALM1" s="383"/>
      <c r="ALN1" s="383"/>
      <c r="ALO1" s="383"/>
      <c r="ALP1" s="383"/>
      <c r="ALQ1" s="383"/>
      <c r="ALR1" s="383"/>
      <c r="ALS1" s="383"/>
      <c r="ALT1" s="383"/>
      <c r="ALU1" s="383"/>
      <c r="ALV1" s="383"/>
      <c r="ALW1" s="383"/>
      <c r="ALX1" s="383"/>
      <c r="ALY1" s="383"/>
      <c r="ALZ1" s="383"/>
      <c r="AMA1" s="383"/>
      <c r="AMB1" s="383"/>
      <c r="AMC1" s="383"/>
      <c r="AMD1" s="383"/>
      <c r="AME1" s="383"/>
      <c r="AMF1" s="383"/>
      <c r="AMG1" s="383"/>
      <c r="AMH1" s="383"/>
      <c r="AMI1" s="383"/>
      <c r="AMJ1" s="383"/>
      <c r="AMK1" s="383"/>
      <c r="AML1" s="383"/>
      <c r="AMM1" s="383"/>
      <c r="AMN1" s="383"/>
      <c r="AMO1" s="383"/>
      <c r="AMP1" s="383"/>
      <c r="AMQ1" s="383"/>
      <c r="AMR1" s="383"/>
      <c r="AMS1" s="383"/>
      <c r="AMT1" s="383"/>
      <c r="AMU1" s="383"/>
      <c r="AMV1" s="383"/>
      <c r="AMW1" s="383"/>
      <c r="AMX1" s="383"/>
      <c r="AMY1" s="383"/>
      <c r="AMZ1" s="383"/>
      <c r="ANA1" s="383"/>
      <c r="ANB1" s="383"/>
      <c r="ANC1" s="383"/>
      <c r="AND1" s="383"/>
      <c r="ANE1" s="383"/>
      <c r="ANF1" s="383"/>
      <c r="ANG1" s="383"/>
      <c r="ANH1" s="383"/>
      <c r="ANI1" s="383"/>
      <c r="ANJ1" s="383"/>
      <c r="ANK1" s="383"/>
      <c r="ANL1" s="383"/>
      <c r="ANM1" s="383"/>
      <c r="ANN1" s="383"/>
      <c r="ANO1" s="383"/>
      <c r="ANP1" s="383"/>
      <c r="ANQ1" s="383"/>
      <c r="ANR1" s="383"/>
      <c r="ANS1" s="383"/>
      <c r="ANT1" s="383"/>
      <c r="ANU1" s="383"/>
      <c r="ANV1" s="383"/>
      <c r="ANW1" s="383"/>
      <c r="ANX1" s="383"/>
      <c r="ANY1" s="383"/>
      <c r="ANZ1" s="383"/>
      <c r="AOA1" s="383"/>
      <c r="AOB1" s="383"/>
      <c r="AOC1" s="383"/>
      <c r="AOD1" s="383"/>
      <c r="AOE1" s="383"/>
      <c r="AOF1" s="383"/>
      <c r="AOG1" s="383"/>
      <c r="AOH1" s="383"/>
      <c r="AOI1" s="383"/>
      <c r="AOJ1" s="383"/>
      <c r="AOK1" s="383"/>
      <c r="AOL1" s="383"/>
      <c r="AOM1" s="383"/>
      <c r="AON1" s="383"/>
      <c r="AOO1" s="383"/>
      <c r="AOP1" s="383"/>
      <c r="AOQ1" s="383"/>
      <c r="AOR1" s="383"/>
      <c r="AOS1" s="383"/>
      <c r="AOT1" s="383"/>
      <c r="AOU1" s="383"/>
      <c r="AOV1" s="383"/>
      <c r="AOW1" s="383"/>
      <c r="AOX1" s="383"/>
      <c r="AOY1" s="383"/>
      <c r="AOZ1" s="383"/>
      <c r="APA1" s="383"/>
      <c r="APB1" s="383"/>
      <c r="APC1" s="383"/>
      <c r="APD1" s="383"/>
      <c r="APE1" s="383"/>
      <c r="APF1" s="383"/>
      <c r="APG1" s="383"/>
      <c r="APH1" s="383"/>
      <c r="API1" s="383"/>
      <c r="APJ1" s="383"/>
      <c r="APK1" s="383"/>
      <c r="APL1" s="383"/>
      <c r="APM1" s="383"/>
      <c r="APN1" s="383"/>
      <c r="APO1" s="383"/>
      <c r="APP1" s="383"/>
      <c r="APQ1" s="383"/>
      <c r="APR1" s="383"/>
      <c r="APS1" s="383"/>
      <c r="APT1" s="383"/>
      <c r="APU1" s="383"/>
      <c r="APV1" s="383"/>
      <c r="APW1" s="383"/>
      <c r="APX1" s="383"/>
      <c r="APY1" s="383"/>
      <c r="APZ1" s="383"/>
      <c r="AQA1" s="383"/>
      <c r="AQB1" s="383"/>
      <c r="AQC1" s="383"/>
      <c r="AQD1" s="383"/>
      <c r="AQE1" s="383"/>
      <c r="AQF1" s="383"/>
      <c r="AQG1" s="383"/>
      <c r="AQH1" s="383"/>
      <c r="AQI1" s="383"/>
      <c r="AQJ1" s="383"/>
      <c r="AQK1" s="383"/>
      <c r="AQL1" s="383"/>
      <c r="AQM1" s="383"/>
      <c r="AQN1" s="383"/>
      <c r="AQO1" s="383"/>
      <c r="AQP1" s="383"/>
      <c r="AQQ1" s="383"/>
      <c r="AQR1" s="383"/>
      <c r="AQS1" s="383"/>
      <c r="AQT1" s="383"/>
      <c r="AQU1" s="383"/>
      <c r="AQV1" s="383"/>
      <c r="AQW1" s="383"/>
      <c r="AQX1" s="383"/>
      <c r="AQY1" s="383"/>
      <c r="AQZ1" s="383"/>
      <c r="ARA1" s="383"/>
      <c r="ARB1" s="383"/>
      <c r="ARC1" s="383"/>
      <c r="ARD1" s="383"/>
      <c r="ARE1" s="383"/>
      <c r="ARF1" s="383"/>
      <c r="ARG1" s="383"/>
      <c r="ARH1" s="383"/>
      <c r="ARI1" s="383"/>
      <c r="ARJ1" s="383"/>
      <c r="ARK1" s="383"/>
      <c r="ARL1" s="383"/>
      <c r="ARM1" s="383"/>
      <c r="ARN1" s="383"/>
      <c r="ARO1" s="383"/>
      <c r="ARP1" s="383"/>
      <c r="ARQ1" s="383"/>
      <c r="ARR1" s="383"/>
      <c r="ARS1" s="383"/>
      <c r="ART1" s="383"/>
      <c r="ARU1" s="383"/>
      <c r="ARV1" s="383"/>
      <c r="ARW1" s="383"/>
      <c r="ARX1" s="383"/>
      <c r="ARY1" s="383"/>
      <c r="ARZ1" s="383"/>
      <c r="ASA1" s="383"/>
      <c r="ASB1" s="383"/>
      <c r="ASC1" s="383"/>
      <c r="ASD1" s="383"/>
      <c r="ASE1" s="383"/>
      <c r="ASF1" s="383"/>
      <c r="ASG1" s="383"/>
      <c r="ASH1" s="383"/>
      <c r="ASI1" s="383"/>
      <c r="ASJ1" s="383"/>
      <c r="ASK1" s="383"/>
      <c r="ASL1" s="383"/>
      <c r="ASM1" s="383"/>
      <c r="ASN1" s="383"/>
      <c r="ASO1" s="383"/>
      <c r="ASP1" s="383"/>
      <c r="ASQ1" s="383"/>
      <c r="ASR1" s="383"/>
      <c r="ASS1" s="383"/>
      <c r="AST1" s="383"/>
      <c r="ASU1" s="383"/>
      <c r="ASV1" s="383"/>
      <c r="ASW1" s="383"/>
      <c r="ASX1" s="383"/>
      <c r="ASY1" s="383"/>
      <c r="ASZ1" s="383"/>
      <c r="ATA1" s="383"/>
      <c r="ATB1" s="383"/>
      <c r="ATC1" s="383"/>
      <c r="ATD1" s="383"/>
      <c r="ATE1" s="383"/>
      <c r="ATF1" s="383"/>
      <c r="ATG1" s="383"/>
      <c r="ATH1" s="383"/>
      <c r="ATI1" s="383"/>
      <c r="ATJ1" s="383"/>
      <c r="ATK1" s="383"/>
      <c r="ATL1" s="383"/>
      <c r="ATM1" s="383"/>
      <c r="ATN1" s="383"/>
      <c r="ATO1" s="383"/>
      <c r="ATP1" s="383"/>
      <c r="ATQ1" s="383"/>
      <c r="ATR1" s="383"/>
      <c r="ATS1" s="383"/>
      <c r="ATT1" s="383"/>
      <c r="ATU1" s="383"/>
      <c r="ATV1" s="383"/>
      <c r="ATW1" s="383"/>
      <c r="ATX1" s="383"/>
      <c r="ATY1" s="383"/>
      <c r="ATZ1" s="383"/>
      <c r="AUA1" s="383"/>
      <c r="AUB1" s="383"/>
      <c r="AUC1" s="383"/>
      <c r="AUD1" s="383"/>
      <c r="AUE1" s="383"/>
      <c r="AUF1" s="383"/>
      <c r="AUG1" s="383"/>
      <c r="AUH1" s="383"/>
      <c r="AUI1" s="383"/>
      <c r="AUJ1" s="383"/>
      <c r="AUK1" s="383"/>
      <c r="AUL1" s="383"/>
      <c r="AUM1" s="383"/>
      <c r="AUN1" s="383"/>
      <c r="AUO1" s="383"/>
      <c r="AUP1" s="383"/>
      <c r="AUQ1" s="383"/>
      <c r="AUR1" s="383"/>
      <c r="AUS1" s="383"/>
      <c r="AUT1" s="383"/>
      <c r="AUU1" s="383"/>
      <c r="AUV1" s="383"/>
      <c r="AUW1" s="383"/>
      <c r="AUX1" s="383"/>
      <c r="AUY1" s="383"/>
      <c r="AUZ1" s="383"/>
      <c r="AVA1" s="383"/>
      <c r="AVB1" s="383"/>
      <c r="AVC1" s="383"/>
      <c r="AVD1" s="383"/>
      <c r="AVE1" s="383"/>
      <c r="AVF1" s="383"/>
      <c r="AVG1" s="383"/>
      <c r="AVH1" s="383"/>
      <c r="AVI1" s="383"/>
      <c r="AVJ1" s="383"/>
      <c r="AVK1" s="383"/>
      <c r="AVL1" s="383"/>
      <c r="AVM1" s="383"/>
      <c r="AVN1" s="383"/>
      <c r="AVO1" s="383"/>
      <c r="AVP1" s="383"/>
      <c r="AVQ1" s="383"/>
      <c r="AVR1" s="383"/>
      <c r="AVS1" s="383"/>
      <c r="AVT1" s="383"/>
      <c r="AVU1" s="383"/>
      <c r="AVV1" s="383"/>
      <c r="AVW1" s="383"/>
      <c r="AVX1" s="383"/>
      <c r="AVY1" s="383"/>
      <c r="AVZ1" s="383"/>
      <c r="AWA1" s="383"/>
      <c r="AWB1" s="383"/>
      <c r="AWC1" s="383"/>
      <c r="AWD1" s="383"/>
      <c r="AWE1" s="383"/>
      <c r="AWF1" s="383"/>
      <c r="AWG1" s="383"/>
      <c r="AWH1" s="383"/>
      <c r="AWI1" s="383"/>
      <c r="AWJ1" s="383"/>
      <c r="AWK1" s="383"/>
      <c r="AWL1" s="383"/>
      <c r="AWM1" s="383"/>
      <c r="AWN1" s="383"/>
      <c r="AWO1" s="383"/>
      <c r="AWP1" s="383"/>
      <c r="AWQ1" s="383"/>
      <c r="AWR1" s="383"/>
      <c r="AWS1" s="383"/>
      <c r="AWT1" s="383"/>
      <c r="AWU1" s="383"/>
      <c r="AWV1" s="383"/>
      <c r="AWW1" s="383"/>
      <c r="AWX1" s="383"/>
      <c r="AWY1" s="383"/>
      <c r="AWZ1" s="383"/>
      <c r="AXA1" s="383"/>
      <c r="AXB1" s="383"/>
      <c r="AXC1" s="383"/>
      <c r="AXD1" s="383"/>
      <c r="AXE1" s="383"/>
      <c r="AXF1" s="383"/>
      <c r="AXG1" s="383"/>
      <c r="AXH1" s="383"/>
      <c r="AXI1" s="383"/>
      <c r="AXJ1" s="383"/>
      <c r="AXK1" s="383"/>
      <c r="AXL1" s="383"/>
      <c r="AXM1" s="383"/>
      <c r="AXN1" s="383"/>
      <c r="AXO1" s="383"/>
      <c r="AXP1" s="383"/>
      <c r="AXQ1" s="383"/>
      <c r="AXR1" s="383"/>
      <c r="AXS1" s="383"/>
      <c r="AXT1" s="383"/>
      <c r="AXU1" s="383"/>
      <c r="AXV1" s="383"/>
      <c r="AXW1" s="383"/>
      <c r="AXX1" s="383"/>
      <c r="AXY1" s="383"/>
      <c r="AXZ1" s="383"/>
      <c r="AYA1" s="383"/>
      <c r="AYB1" s="383"/>
      <c r="AYC1" s="383"/>
      <c r="AYD1" s="383"/>
      <c r="AYE1" s="383"/>
      <c r="AYF1" s="383"/>
      <c r="AYG1" s="383"/>
      <c r="AYH1" s="383"/>
      <c r="AYI1" s="383"/>
      <c r="AYJ1" s="383"/>
      <c r="AYK1" s="383"/>
      <c r="AYL1" s="383"/>
      <c r="AYM1" s="383"/>
      <c r="AYN1" s="383"/>
      <c r="AYO1" s="383"/>
      <c r="AYP1" s="383"/>
      <c r="AYQ1" s="383"/>
      <c r="AYR1" s="383"/>
      <c r="AYS1" s="383"/>
      <c r="AYT1" s="383"/>
      <c r="AYU1" s="383"/>
      <c r="AYV1" s="383"/>
      <c r="AYW1" s="383"/>
      <c r="AYX1" s="383"/>
      <c r="AYY1" s="383"/>
      <c r="AYZ1" s="383"/>
      <c r="AZA1" s="383"/>
      <c r="AZB1" s="383"/>
      <c r="AZC1" s="383"/>
      <c r="AZD1" s="383"/>
      <c r="AZE1" s="383"/>
      <c r="AZF1" s="383"/>
      <c r="AZG1" s="383"/>
      <c r="AZH1" s="383"/>
      <c r="AZI1" s="383"/>
      <c r="AZJ1" s="383"/>
      <c r="AZK1" s="383"/>
      <c r="AZL1" s="383"/>
      <c r="AZM1" s="383"/>
      <c r="AZN1" s="383"/>
      <c r="AZO1" s="383"/>
      <c r="AZP1" s="383"/>
      <c r="AZQ1" s="383"/>
      <c r="AZR1" s="383"/>
      <c r="AZS1" s="383"/>
      <c r="AZT1" s="383"/>
      <c r="AZU1" s="383"/>
      <c r="AZV1" s="383"/>
      <c r="AZW1" s="383"/>
      <c r="AZX1" s="383"/>
      <c r="AZY1" s="383"/>
      <c r="AZZ1" s="383"/>
      <c r="BAA1" s="383"/>
      <c r="BAB1" s="383"/>
      <c r="BAC1" s="383"/>
      <c r="BAD1" s="383"/>
      <c r="BAE1" s="383"/>
      <c r="BAF1" s="383"/>
      <c r="BAG1" s="383"/>
      <c r="BAH1" s="383"/>
      <c r="BAI1" s="383"/>
      <c r="BAJ1" s="383"/>
      <c r="BAK1" s="383"/>
      <c r="BAL1" s="383"/>
      <c r="BAM1" s="383"/>
      <c r="BAN1" s="383"/>
      <c r="BAO1" s="383"/>
      <c r="BAP1" s="383"/>
      <c r="BAQ1" s="383"/>
      <c r="BAR1" s="383"/>
      <c r="BAS1" s="383"/>
      <c r="BAT1" s="383"/>
      <c r="BAU1" s="383"/>
      <c r="BAV1" s="383"/>
      <c r="BAW1" s="383"/>
      <c r="BAX1" s="383"/>
      <c r="BAY1" s="383"/>
      <c r="BAZ1" s="383"/>
      <c r="BBA1" s="383"/>
      <c r="BBB1" s="383"/>
      <c r="BBC1" s="383"/>
      <c r="BBD1" s="383"/>
      <c r="BBE1" s="383"/>
      <c r="BBF1" s="383"/>
      <c r="BBG1" s="383"/>
      <c r="BBH1" s="383"/>
      <c r="BBI1" s="383"/>
      <c r="BBJ1" s="383"/>
      <c r="BBK1" s="383"/>
      <c r="BBL1" s="383"/>
      <c r="BBM1" s="383"/>
      <c r="BBN1" s="383"/>
      <c r="BBO1" s="383"/>
      <c r="BBP1" s="383"/>
      <c r="BBQ1" s="383"/>
      <c r="BBR1" s="383"/>
      <c r="BBS1" s="383"/>
      <c r="BBT1" s="383"/>
      <c r="BBU1" s="383"/>
      <c r="BBV1" s="383"/>
      <c r="BBW1" s="383"/>
      <c r="BBX1" s="383"/>
      <c r="BBY1" s="383"/>
      <c r="BBZ1" s="383"/>
      <c r="BCA1" s="383"/>
      <c r="BCB1" s="383"/>
      <c r="BCC1" s="383"/>
      <c r="BCD1" s="383"/>
      <c r="BCE1" s="383"/>
      <c r="BCF1" s="383"/>
      <c r="BCG1" s="383"/>
      <c r="BCH1" s="383"/>
      <c r="BCI1" s="383"/>
      <c r="BCJ1" s="383"/>
      <c r="BCK1" s="383"/>
      <c r="BCL1" s="383"/>
      <c r="BCM1" s="383"/>
      <c r="BCN1" s="383"/>
      <c r="BCO1" s="383"/>
      <c r="BCP1" s="383"/>
      <c r="BCQ1" s="383"/>
      <c r="BCR1" s="383"/>
      <c r="BCS1" s="383"/>
      <c r="BCT1" s="383"/>
      <c r="BCU1" s="383"/>
      <c r="BCV1" s="383"/>
      <c r="BCW1" s="383"/>
      <c r="BCX1" s="383"/>
      <c r="BCY1" s="383"/>
      <c r="BCZ1" s="383"/>
      <c r="BDA1" s="383"/>
      <c r="BDB1" s="383"/>
      <c r="BDC1" s="383"/>
      <c r="BDD1" s="383"/>
      <c r="BDE1" s="383"/>
      <c r="BDF1" s="383"/>
      <c r="BDG1" s="383"/>
      <c r="BDH1" s="383"/>
      <c r="BDI1" s="383"/>
      <c r="BDJ1" s="383"/>
      <c r="BDK1" s="383"/>
      <c r="BDL1" s="383"/>
      <c r="BDM1" s="383"/>
      <c r="BDN1" s="383"/>
      <c r="BDO1" s="383"/>
      <c r="BDP1" s="383"/>
      <c r="BDQ1" s="383"/>
      <c r="BDR1" s="383"/>
      <c r="BDS1" s="383"/>
      <c r="BDT1" s="383"/>
      <c r="BDU1" s="383"/>
      <c r="BDV1" s="383"/>
      <c r="BDW1" s="383"/>
      <c r="BDX1" s="383"/>
      <c r="BDY1" s="383"/>
      <c r="BDZ1" s="383"/>
      <c r="BEA1" s="383"/>
      <c r="BEB1" s="383"/>
      <c r="BEC1" s="383"/>
      <c r="BED1" s="383"/>
      <c r="BEE1" s="383"/>
      <c r="BEF1" s="383"/>
      <c r="BEG1" s="383"/>
      <c r="BEH1" s="383"/>
      <c r="BEI1" s="383"/>
      <c r="BEJ1" s="383"/>
      <c r="BEK1" s="383"/>
      <c r="BEL1" s="383"/>
      <c r="BEM1" s="383"/>
      <c r="BEN1" s="383"/>
      <c r="BEO1" s="383"/>
      <c r="BEP1" s="383"/>
      <c r="BEQ1" s="383"/>
      <c r="BER1" s="383"/>
      <c r="BES1" s="383"/>
      <c r="BET1" s="383"/>
      <c r="BEU1" s="383"/>
      <c r="BEV1" s="383"/>
      <c r="BEW1" s="383"/>
      <c r="BEX1" s="383"/>
      <c r="BEY1" s="383"/>
      <c r="BEZ1" s="383"/>
      <c r="BFA1" s="383"/>
      <c r="BFB1" s="383"/>
      <c r="BFC1" s="383"/>
      <c r="BFD1" s="383"/>
      <c r="BFE1" s="383"/>
      <c r="BFF1" s="383"/>
      <c r="BFG1" s="383"/>
      <c r="BFH1" s="383"/>
      <c r="BFI1" s="383"/>
      <c r="BFJ1" s="383"/>
      <c r="BFK1" s="383"/>
      <c r="BFL1" s="383"/>
      <c r="BFM1" s="383"/>
      <c r="BFN1" s="383"/>
      <c r="BFO1" s="383"/>
      <c r="BFP1" s="383"/>
      <c r="BFQ1" s="383"/>
      <c r="BFR1" s="383"/>
      <c r="BFS1" s="383"/>
      <c r="BFT1" s="383"/>
      <c r="BFU1" s="383"/>
      <c r="BFV1" s="383"/>
      <c r="BFW1" s="383"/>
      <c r="BFX1" s="383"/>
      <c r="BFY1" s="383"/>
      <c r="BFZ1" s="383"/>
      <c r="BGA1" s="383"/>
      <c r="BGB1" s="383"/>
      <c r="BGC1" s="383"/>
      <c r="BGD1" s="383"/>
      <c r="BGE1" s="383"/>
      <c r="BGF1" s="383"/>
      <c r="BGG1" s="383"/>
      <c r="BGH1" s="383"/>
      <c r="BGI1" s="383"/>
      <c r="BGJ1" s="383"/>
      <c r="BGK1" s="383"/>
      <c r="BGL1" s="383"/>
      <c r="BGM1" s="383"/>
      <c r="BGN1" s="383"/>
      <c r="BGO1" s="383"/>
      <c r="BGP1" s="383"/>
      <c r="BGQ1" s="383"/>
      <c r="BGR1" s="383"/>
      <c r="BGS1" s="383"/>
      <c r="BGT1" s="383"/>
      <c r="BGU1" s="383"/>
      <c r="BGV1" s="383"/>
      <c r="BGW1" s="383"/>
      <c r="BGX1" s="383"/>
      <c r="BGY1" s="383"/>
      <c r="BGZ1" s="383"/>
      <c r="BHA1" s="383"/>
      <c r="BHB1" s="383"/>
      <c r="BHC1" s="383"/>
      <c r="BHD1" s="383"/>
      <c r="BHE1" s="383"/>
      <c r="BHF1" s="383"/>
      <c r="BHG1" s="383"/>
      <c r="BHH1" s="383"/>
      <c r="BHI1" s="383"/>
      <c r="BHJ1" s="383"/>
      <c r="BHK1" s="383"/>
      <c r="BHL1" s="383"/>
      <c r="BHM1" s="383"/>
      <c r="BHN1" s="383"/>
      <c r="BHO1" s="383"/>
      <c r="BHP1" s="383"/>
      <c r="BHQ1" s="383"/>
      <c r="BHR1" s="383"/>
      <c r="BHS1" s="383"/>
      <c r="BHT1" s="383"/>
      <c r="BHU1" s="383"/>
      <c r="BHV1" s="383"/>
      <c r="BHW1" s="383"/>
      <c r="BHX1" s="383"/>
      <c r="BHY1" s="383"/>
      <c r="BHZ1" s="383"/>
      <c r="BIA1" s="383"/>
      <c r="BIB1" s="383"/>
      <c r="BIC1" s="383"/>
      <c r="BID1" s="383"/>
      <c r="BIE1" s="383"/>
      <c r="BIF1" s="383"/>
      <c r="BIG1" s="383"/>
      <c r="BIH1" s="383"/>
      <c r="BII1" s="383"/>
      <c r="BIJ1" s="383"/>
      <c r="BIK1" s="383"/>
      <c r="BIL1" s="383"/>
      <c r="BIM1" s="383"/>
      <c r="BIN1" s="383"/>
      <c r="BIO1" s="383"/>
      <c r="BIP1" s="383"/>
      <c r="BIQ1" s="383"/>
      <c r="BIR1" s="383"/>
      <c r="BIS1" s="383"/>
      <c r="BIT1" s="383"/>
      <c r="BIU1" s="383"/>
      <c r="BIV1" s="383"/>
      <c r="BIW1" s="383"/>
      <c r="BIX1" s="383"/>
      <c r="BIY1" s="383"/>
      <c r="BIZ1" s="383"/>
      <c r="BJA1" s="383"/>
      <c r="BJB1" s="383"/>
      <c r="BJC1" s="383"/>
      <c r="BJD1" s="383"/>
      <c r="BJE1" s="383"/>
      <c r="BJF1" s="383"/>
      <c r="BJG1" s="383"/>
      <c r="BJH1" s="383"/>
      <c r="BJI1" s="383"/>
      <c r="BJJ1" s="383"/>
      <c r="BJK1" s="383"/>
      <c r="BJL1" s="383"/>
      <c r="BJM1" s="383"/>
      <c r="BJN1" s="383"/>
      <c r="BJO1" s="383"/>
      <c r="BJP1" s="383"/>
      <c r="BJQ1" s="383"/>
      <c r="BJR1" s="383"/>
      <c r="BJS1" s="383"/>
      <c r="BJT1" s="383"/>
      <c r="BJU1" s="383"/>
      <c r="BJV1" s="383"/>
      <c r="BJW1" s="383"/>
      <c r="BJX1" s="383"/>
      <c r="BJY1" s="383"/>
      <c r="BJZ1" s="383"/>
      <c r="BKA1" s="383"/>
      <c r="BKB1" s="383"/>
      <c r="BKC1" s="383"/>
      <c r="BKD1" s="383"/>
      <c r="BKE1" s="383"/>
      <c r="BKF1" s="383"/>
      <c r="BKG1" s="383"/>
      <c r="BKH1" s="383"/>
      <c r="BKI1" s="383"/>
      <c r="BKJ1" s="383"/>
      <c r="BKK1" s="383"/>
      <c r="BKL1" s="383"/>
      <c r="BKM1" s="383"/>
      <c r="BKN1" s="383"/>
      <c r="BKO1" s="383"/>
      <c r="BKP1" s="383"/>
      <c r="BKQ1" s="383"/>
      <c r="BKR1" s="383"/>
      <c r="BKS1" s="383"/>
      <c r="BKT1" s="383"/>
      <c r="BKU1" s="383"/>
      <c r="BKV1" s="383"/>
      <c r="BKW1" s="383"/>
      <c r="BKX1" s="383"/>
      <c r="BKY1" s="383"/>
      <c r="BKZ1" s="383"/>
      <c r="BLA1" s="383"/>
      <c r="BLB1" s="383"/>
      <c r="BLC1" s="383"/>
      <c r="BLD1" s="383"/>
      <c r="BLE1" s="383"/>
      <c r="BLF1" s="383"/>
      <c r="BLG1" s="383"/>
      <c r="BLH1" s="383"/>
      <c r="BLI1" s="383"/>
      <c r="BLJ1" s="383"/>
      <c r="BLK1" s="383"/>
      <c r="BLL1" s="383"/>
      <c r="BLM1" s="383"/>
      <c r="BLN1" s="383"/>
      <c r="BLO1" s="383"/>
      <c r="BLP1" s="383"/>
      <c r="BLQ1" s="383"/>
      <c r="BLR1" s="383"/>
      <c r="BLS1" s="383"/>
      <c r="BLT1" s="383"/>
      <c r="BLU1" s="383"/>
      <c r="BLV1" s="383"/>
      <c r="BLW1" s="383"/>
      <c r="BLX1" s="383"/>
      <c r="BLY1" s="383"/>
      <c r="BLZ1" s="383"/>
      <c r="BMA1" s="383"/>
      <c r="BMB1" s="383"/>
      <c r="BMC1" s="383"/>
      <c r="BMD1" s="383"/>
      <c r="BME1" s="383"/>
      <c r="BMF1" s="383"/>
      <c r="BMG1" s="383"/>
      <c r="BMH1" s="383"/>
      <c r="BMI1" s="383"/>
      <c r="BMJ1" s="383"/>
      <c r="BMK1" s="383"/>
      <c r="BML1" s="383"/>
      <c r="BMM1" s="383"/>
      <c r="BMN1" s="383"/>
      <c r="BMO1" s="383"/>
      <c r="BMP1" s="383"/>
      <c r="BMQ1" s="383"/>
      <c r="BMR1" s="383"/>
      <c r="BMS1" s="383"/>
      <c r="BMT1" s="383"/>
      <c r="BMU1" s="383"/>
      <c r="BMV1" s="383"/>
      <c r="BMW1" s="383"/>
      <c r="BMX1" s="383"/>
      <c r="BMY1" s="383"/>
      <c r="BMZ1" s="383"/>
      <c r="BNA1" s="383"/>
      <c r="BNB1" s="383"/>
      <c r="BNC1" s="383"/>
      <c r="BND1" s="383"/>
      <c r="BNE1" s="383"/>
      <c r="BNF1" s="383"/>
      <c r="BNG1" s="383"/>
      <c r="BNH1" s="383"/>
      <c r="BNI1" s="383"/>
      <c r="BNJ1" s="383"/>
      <c r="BNK1" s="383"/>
      <c r="BNL1" s="383"/>
      <c r="BNM1" s="383"/>
      <c r="BNN1" s="383"/>
      <c r="BNO1" s="383"/>
      <c r="BNP1" s="383"/>
      <c r="BNQ1" s="383"/>
      <c r="BNR1" s="383"/>
      <c r="BNS1" s="383"/>
      <c r="BNT1" s="383"/>
      <c r="BNU1" s="383"/>
      <c r="BNV1" s="383"/>
      <c r="BNW1" s="383"/>
      <c r="BNX1" s="383"/>
      <c r="BNY1" s="383"/>
      <c r="BNZ1" s="383"/>
      <c r="BOA1" s="383"/>
      <c r="BOB1" s="383"/>
      <c r="BOC1" s="383"/>
      <c r="BOD1" s="383"/>
      <c r="BOE1" s="383"/>
      <c r="BOF1" s="383"/>
      <c r="BOG1" s="383"/>
      <c r="BOH1" s="383"/>
      <c r="BOI1" s="383"/>
      <c r="BOJ1" s="383"/>
      <c r="BOK1" s="383"/>
      <c r="BOL1" s="383"/>
      <c r="BOM1" s="383"/>
      <c r="BON1" s="383"/>
      <c r="BOO1" s="383"/>
      <c r="BOP1" s="383"/>
      <c r="BOQ1" s="383"/>
      <c r="BOR1" s="383"/>
      <c r="BOS1" s="383"/>
      <c r="BOT1" s="383"/>
      <c r="BOU1" s="383"/>
      <c r="BOV1" s="383"/>
      <c r="BOW1" s="383"/>
      <c r="BOX1" s="383"/>
      <c r="BOY1" s="383"/>
      <c r="BOZ1" s="383"/>
      <c r="BPA1" s="383"/>
      <c r="BPB1" s="383"/>
      <c r="BPC1" s="383"/>
      <c r="BPD1" s="383"/>
      <c r="BPE1" s="383"/>
      <c r="BPF1" s="383"/>
      <c r="BPG1" s="383"/>
      <c r="BPH1" s="383"/>
      <c r="BPI1" s="383"/>
      <c r="BPJ1" s="383"/>
      <c r="BPK1" s="383"/>
      <c r="BPL1" s="383"/>
      <c r="BPM1" s="383"/>
      <c r="BPN1" s="383"/>
      <c r="BPO1" s="383"/>
      <c r="BPP1" s="383"/>
      <c r="BPQ1" s="383"/>
      <c r="BPR1" s="383"/>
      <c r="BPS1" s="383"/>
      <c r="BPT1" s="383"/>
      <c r="BPU1" s="383"/>
      <c r="BPV1" s="383"/>
      <c r="BPW1" s="383"/>
      <c r="BPX1" s="383"/>
      <c r="BPY1" s="383"/>
      <c r="BPZ1" s="383"/>
      <c r="BQA1" s="383"/>
      <c r="BQB1" s="383"/>
      <c r="BQC1" s="383"/>
      <c r="BQD1" s="383"/>
      <c r="BQE1" s="383"/>
      <c r="BQF1" s="383"/>
      <c r="BQG1" s="383"/>
      <c r="BQH1" s="383"/>
      <c r="BQI1" s="383"/>
      <c r="BQJ1" s="383"/>
      <c r="BQK1" s="383"/>
      <c r="BQL1" s="383"/>
      <c r="BQM1" s="383"/>
      <c r="BQN1" s="383"/>
      <c r="BQO1" s="383"/>
      <c r="BQP1" s="383"/>
      <c r="BQQ1" s="383"/>
      <c r="BQR1" s="383"/>
      <c r="BQS1" s="383"/>
      <c r="BQT1" s="383"/>
      <c r="BQU1" s="383"/>
      <c r="BQV1" s="383"/>
      <c r="BQW1" s="383"/>
      <c r="BQX1" s="383"/>
      <c r="BQY1" s="383"/>
      <c r="BQZ1" s="383"/>
      <c r="BRA1" s="383"/>
      <c r="BRB1" s="383"/>
      <c r="BRC1" s="383"/>
      <c r="BRD1" s="383"/>
      <c r="BRE1" s="383"/>
      <c r="BRF1" s="383"/>
      <c r="BRG1" s="383"/>
      <c r="BRH1" s="383"/>
      <c r="BRI1" s="383"/>
      <c r="BRJ1" s="383"/>
      <c r="BRK1" s="383"/>
      <c r="BRL1" s="383"/>
      <c r="BRM1" s="383"/>
      <c r="BRN1" s="383"/>
      <c r="BRO1" s="383"/>
      <c r="BRP1" s="383"/>
      <c r="BRQ1" s="383"/>
      <c r="BRR1" s="383"/>
      <c r="BRS1" s="383"/>
      <c r="BRT1" s="383"/>
      <c r="BRU1" s="383"/>
      <c r="BRV1" s="383"/>
      <c r="BRW1" s="383"/>
      <c r="BRX1" s="383"/>
      <c r="BRY1" s="383"/>
      <c r="BRZ1" s="383"/>
      <c r="BSA1" s="383"/>
      <c r="BSB1" s="383"/>
      <c r="BSC1" s="383"/>
      <c r="BSD1" s="383"/>
      <c r="BSE1" s="383"/>
      <c r="BSF1" s="383"/>
      <c r="BSG1" s="383"/>
      <c r="BSH1" s="383"/>
      <c r="BSI1" s="383"/>
      <c r="BSJ1" s="383"/>
      <c r="BSK1" s="383"/>
      <c r="BSL1" s="383"/>
      <c r="BSM1" s="383"/>
      <c r="BSN1" s="383"/>
      <c r="BSO1" s="383"/>
      <c r="BSP1" s="383"/>
      <c r="BSQ1" s="383"/>
      <c r="BSR1" s="383"/>
      <c r="BSS1" s="383"/>
      <c r="BST1" s="383"/>
      <c r="BSU1" s="383"/>
      <c r="BSV1" s="383"/>
      <c r="BSW1" s="383"/>
      <c r="BSX1" s="383"/>
      <c r="BSY1" s="383"/>
      <c r="BSZ1" s="383"/>
      <c r="BTA1" s="383"/>
      <c r="BTB1" s="383"/>
      <c r="BTC1" s="383"/>
      <c r="BTD1" s="383"/>
      <c r="BTE1" s="383"/>
      <c r="BTF1" s="383"/>
      <c r="BTG1" s="383"/>
      <c r="BTH1" s="383"/>
      <c r="BTI1" s="383"/>
      <c r="BTJ1" s="383"/>
      <c r="BTK1" s="383"/>
      <c r="BTL1" s="383"/>
      <c r="BTM1" s="383"/>
      <c r="BTN1" s="383"/>
      <c r="BTO1" s="383"/>
      <c r="BTP1" s="383"/>
      <c r="BTQ1" s="383"/>
      <c r="BTR1" s="383"/>
      <c r="BTS1" s="383"/>
      <c r="BTT1" s="383"/>
      <c r="BTU1" s="383"/>
      <c r="BTV1" s="383"/>
      <c r="BTW1" s="383"/>
      <c r="BTX1" s="383"/>
      <c r="BTY1" s="383"/>
      <c r="BTZ1" s="383"/>
      <c r="BUA1" s="383"/>
      <c r="BUB1" s="383"/>
      <c r="BUC1" s="383"/>
      <c r="BUD1" s="383"/>
      <c r="BUE1" s="383"/>
      <c r="BUF1" s="383"/>
      <c r="BUG1" s="383"/>
      <c r="BUH1" s="383"/>
      <c r="BUI1" s="383"/>
      <c r="BUJ1" s="383"/>
      <c r="BUK1" s="383"/>
      <c r="BUL1" s="383"/>
      <c r="BUM1" s="383"/>
      <c r="BUN1" s="383"/>
      <c r="BUO1" s="383"/>
      <c r="BUP1" s="383"/>
      <c r="BUQ1" s="383"/>
      <c r="BUR1" s="383"/>
      <c r="BUS1" s="383"/>
      <c r="BUT1" s="383"/>
      <c r="BUU1" s="383"/>
      <c r="BUV1" s="383"/>
      <c r="BUW1" s="383"/>
      <c r="BUX1" s="383"/>
      <c r="BUY1" s="383"/>
      <c r="BUZ1" s="383"/>
      <c r="BVA1" s="383"/>
      <c r="BVB1" s="383"/>
      <c r="BVC1" s="383"/>
      <c r="BVD1" s="383"/>
      <c r="BVE1" s="383"/>
      <c r="BVF1" s="383"/>
      <c r="BVG1" s="383"/>
      <c r="BVH1" s="383"/>
      <c r="BVI1" s="383"/>
      <c r="BVJ1" s="383"/>
      <c r="BVK1" s="383"/>
      <c r="BVL1" s="383"/>
      <c r="BVM1" s="383"/>
      <c r="BVN1" s="383"/>
      <c r="BVO1" s="383"/>
      <c r="BVP1" s="383"/>
      <c r="BVQ1" s="383"/>
      <c r="BVR1" s="383"/>
      <c r="BVS1" s="383"/>
      <c r="BVT1" s="383"/>
      <c r="BVU1" s="383"/>
      <c r="BVV1" s="383"/>
      <c r="BVW1" s="383"/>
      <c r="BVX1" s="383"/>
      <c r="BVY1" s="383"/>
      <c r="BVZ1" s="383"/>
      <c r="BWA1" s="383"/>
      <c r="BWB1" s="383"/>
      <c r="BWC1" s="383"/>
      <c r="BWD1" s="383"/>
      <c r="BWE1" s="383"/>
      <c r="BWF1" s="383"/>
      <c r="BWG1" s="383"/>
      <c r="BWH1" s="383"/>
      <c r="BWI1" s="383"/>
      <c r="BWJ1" s="383"/>
      <c r="BWK1" s="383"/>
      <c r="BWL1" s="383"/>
      <c r="BWM1" s="383"/>
      <c r="BWN1" s="383"/>
      <c r="BWO1" s="383"/>
      <c r="BWP1" s="383"/>
      <c r="BWQ1" s="383"/>
      <c r="BWR1" s="383"/>
      <c r="BWS1" s="383"/>
      <c r="BWT1" s="383"/>
      <c r="BWU1" s="383"/>
      <c r="BWV1" s="383"/>
      <c r="BWW1" s="383"/>
      <c r="BWX1" s="383"/>
      <c r="BWY1" s="383"/>
      <c r="BWZ1" s="383"/>
      <c r="BXA1" s="383"/>
      <c r="BXB1" s="383"/>
      <c r="BXC1" s="383"/>
      <c r="BXD1" s="383"/>
      <c r="BXE1" s="383"/>
      <c r="BXF1" s="383"/>
      <c r="BXG1" s="383"/>
      <c r="BXH1" s="383"/>
      <c r="BXI1" s="383"/>
      <c r="BXJ1" s="383"/>
      <c r="BXK1" s="383"/>
      <c r="BXL1" s="383"/>
      <c r="BXM1" s="383"/>
      <c r="BXN1" s="383"/>
      <c r="BXO1" s="383"/>
      <c r="BXP1" s="383"/>
      <c r="BXQ1" s="383"/>
      <c r="BXR1" s="383"/>
      <c r="BXS1" s="383"/>
      <c r="BXT1" s="383"/>
      <c r="BXU1" s="383"/>
      <c r="BXV1" s="383"/>
      <c r="BXW1" s="383"/>
      <c r="BXX1" s="383"/>
      <c r="BXY1" s="383"/>
      <c r="BXZ1" s="383"/>
      <c r="BYA1" s="383"/>
      <c r="BYB1" s="383"/>
      <c r="BYC1" s="383"/>
      <c r="BYD1" s="383"/>
      <c r="BYE1" s="383"/>
      <c r="BYF1" s="383"/>
      <c r="BYG1" s="383"/>
      <c r="BYH1" s="383"/>
      <c r="BYI1" s="383"/>
      <c r="BYJ1" s="383"/>
      <c r="BYK1" s="383"/>
      <c r="BYL1" s="383"/>
      <c r="BYM1" s="383"/>
      <c r="BYN1" s="383"/>
      <c r="BYO1" s="383"/>
      <c r="BYP1" s="383"/>
      <c r="BYQ1" s="383"/>
      <c r="BYR1" s="383"/>
      <c r="BYS1" s="383"/>
      <c r="BYT1" s="383"/>
      <c r="BYU1" s="383"/>
      <c r="BYV1" s="383"/>
      <c r="BYW1" s="383"/>
      <c r="BYX1" s="383"/>
      <c r="BYY1" s="383"/>
      <c r="BYZ1" s="383"/>
      <c r="BZA1" s="383"/>
      <c r="BZB1" s="383"/>
      <c r="BZC1" s="383"/>
      <c r="BZD1" s="383"/>
      <c r="BZE1" s="383"/>
      <c r="BZF1" s="383"/>
      <c r="BZG1" s="383"/>
      <c r="BZH1" s="383"/>
      <c r="BZI1" s="383"/>
      <c r="BZJ1" s="383"/>
      <c r="BZK1" s="383"/>
      <c r="BZL1" s="383"/>
      <c r="BZM1" s="383"/>
      <c r="BZN1" s="383"/>
      <c r="BZO1" s="383"/>
      <c r="BZP1" s="383"/>
      <c r="BZQ1" s="383"/>
      <c r="BZR1" s="383"/>
      <c r="BZS1" s="383"/>
      <c r="BZT1" s="383"/>
      <c r="BZU1" s="383"/>
      <c r="BZV1" s="383"/>
      <c r="BZW1" s="383"/>
      <c r="BZX1" s="383"/>
      <c r="BZY1" s="383"/>
      <c r="BZZ1" s="383"/>
      <c r="CAA1" s="383"/>
      <c r="CAB1" s="383"/>
      <c r="CAC1" s="383"/>
      <c r="CAD1" s="383"/>
      <c r="CAE1" s="383"/>
      <c r="CAF1" s="383"/>
      <c r="CAG1" s="383"/>
      <c r="CAH1" s="383"/>
      <c r="CAI1" s="383"/>
      <c r="CAJ1" s="383"/>
      <c r="CAK1" s="383"/>
      <c r="CAL1" s="383"/>
      <c r="CAM1" s="383"/>
      <c r="CAN1" s="383"/>
      <c r="CAO1" s="383"/>
      <c r="CAP1" s="383"/>
      <c r="CAQ1" s="383"/>
      <c r="CAR1" s="383"/>
      <c r="CAS1" s="383"/>
      <c r="CAT1" s="383"/>
      <c r="CAU1" s="383"/>
      <c r="CAV1" s="383"/>
      <c r="CAW1" s="383"/>
      <c r="CAX1" s="383"/>
      <c r="CAY1" s="383"/>
      <c r="CAZ1" s="383"/>
      <c r="CBA1" s="383"/>
      <c r="CBB1" s="383"/>
      <c r="CBC1" s="383"/>
      <c r="CBD1" s="383"/>
      <c r="CBE1" s="383"/>
      <c r="CBF1" s="383"/>
      <c r="CBG1" s="383"/>
      <c r="CBH1" s="383"/>
      <c r="CBI1" s="383"/>
      <c r="CBJ1" s="383"/>
      <c r="CBK1" s="383"/>
      <c r="CBL1" s="383"/>
      <c r="CBM1" s="383"/>
      <c r="CBN1" s="383"/>
      <c r="CBO1" s="383"/>
      <c r="CBP1" s="383"/>
      <c r="CBQ1" s="383"/>
      <c r="CBR1" s="383"/>
      <c r="CBS1" s="383"/>
      <c r="CBT1" s="383"/>
      <c r="CBU1" s="383"/>
      <c r="CBV1" s="383"/>
      <c r="CBW1" s="383"/>
      <c r="CBX1" s="383"/>
      <c r="CBY1" s="383"/>
      <c r="CBZ1" s="383"/>
      <c r="CCA1" s="383"/>
      <c r="CCB1" s="383"/>
      <c r="CCC1" s="383"/>
      <c r="CCD1" s="383"/>
      <c r="CCE1" s="383"/>
      <c r="CCF1" s="383"/>
      <c r="CCG1" s="383"/>
      <c r="CCH1" s="383"/>
      <c r="CCI1" s="383"/>
      <c r="CCJ1" s="383"/>
      <c r="CCK1" s="383"/>
      <c r="CCL1" s="383"/>
      <c r="CCM1" s="383"/>
      <c r="CCN1" s="383"/>
      <c r="CCO1" s="383"/>
      <c r="CCP1" s="383"/>
      <c r="CCQ1" s="383"/>
      <c r="CCR1" s="383"/>
      <c r="CCS1" s="383"/>
      <c r="CCT1" s="383"/>
      <c r="CCU1" s="383"/>
      <c r="CCV1" s="383"/>
      <c r="CCW1" s="383"/>
      <c r="CCX1" s="383"/>
      <c r="CCY1" s="383"/>
      <c r="CCZ1" s="383"/>
      <c r="CDA1" s="383"/>
      <c r="CDB1" s="383"/>
      <c r="CDC1" s="383"/>
      <c r="CDD1" s="383"/>
      <c r="CDE1" s="383"/>
      <c r="CDF1" s="383"/>
      <c r="CDG1" s="383"/>
      <c r="CDH1" s="383"/>
      <c r="CDI1" s="383"/>
      <c r="CDJ1" s="383"/>
      <c r="CDK1" s="383"/>
      <c r="CDL1" s="383"/>
      <c r="CDM1" s="383"/>
      <c r="CDN1" s="383"/>
      <c r="CDO1" s="383"/>
      <c r="CDP1" s="383"/>
      <c r="CDQ1" s="383"/>
      <c r="CDR1" s="383"/>
      <c r="CDS1" s="383"/>
      <c r="CDT1" s="383"/>
      <c r="CDU1" s="383"/>
      <c r="CDV1" s="383"/>
      <c r="CDW1" s="383"/>
      <c r="CDX1" s="383"/>
      <c r="CDY1" s="383"/>
      <c r="CDZ1" s="383"/>
      <c r="CEA1" s="383"/>
      <c r="CEB1" s="383"/>
      <c r="CEC1" s="383"/>
      <c r="CED1" s="383"/>
      <c r="CEE1" s="383"/>
      <c r="CEF1" s="383"/>
      <c r="CEG1" s="383"/>
      <c r="CEH1" s="383"/>
      <c r="CEI1" s="383"/>
      <c r="CEJ1" s="383"/>
      <c r="CEK1" s="383"/>
      <c r="CEL1" s="383"/>
      <c r="CEM1" s="383"/>
      <c r="CEN1" s="383"/>
      <c r="CEO1" s="383"/>
      <c r="CEP1" s="383"/>
      <c r="CEQ1" s="383"/>
      <c r="CER1" s="383"/>
      <c r="CES1" s="383"/>
      <c r="CET1" s="383"/>
      <c r="CEU1" s="383"/>
      <c r="CEV1" s="383"/>
      <c r="CEW1" s="383"/>
      <c r="CEX1" s="383"/>
      <c r="CEY1" s="383"/>
      <c r="CEZ1" s="383"/>
      <c r="CFA1" s="383"/>
      <c r="CFB1" s="383"/>
      <c r="CFC1" s="383"/>
      <c r="CFD1" s="383"/>
      <c r="CFE1" s="383"/>
      <c r="CFF1" s="383"/>
      <c r="CFG1" s="383"/>
      <c r="CFH1" s="383"/>
      <c r="CFI1" s="383"/>
      <c r="CFJ1" s="383"/>
      <c r="CFK1" s="383"/>
      <c r="CFL1" s="383"/>
      <c r="CFM1" s="383"/>
      <c r="CFN1" s="383"/>
      <c r="CFO1" s="383"/>
      <c r="CFP1" s="383"/>
      <c r="CFQ1" s="383"/>
      <c r="CFR1" s="383"/>
      <c r="CFS1" s="383"/>
      <c r="CFT1" s="383"/>
      <c r="CFU1" s="383"/>
      <c r="CFV1" s="383"/>
      <c r="CFW1" s="383"/>
      <c r="CFX1" s="383"/>
      <c r="CFY1" s="383"/>
      <c r="CFZ1" s="383"/>
      <c r="CGA1" s="383"/>
      <c r="CGB1" s="383"/>
      <c r="CGC1" s="383"/>
      <c r="CGD1" s="383"/>
      <c r="CGE1" s="383"/>
      <c r="CGF1" s="383"/>
      <c r="CGG1" s="383"/>
      <c r="CGH1" s="383"/>
      <c r="CGI1" s="383"/>
      <c r="CGJ1" s="383"/>
      <c r="CGK1" s="383"/>
      <c r="CGL1" s="383"/>
      <c r="CGM1" s="383"/>
      <c r="CGN1" s="383"/>
      <c r="CGO1" s="383"/>
      <c r="CGP1" s="383"/>
      <c r="CGQ1" s="383"/>
      <c r="CGR1" s="383"/>
      <c r="CGS1" s="383"/>
      <c r="CGT1" s="383"/>
      <c r="CGU1" s="383"/>
      <c r="CGV1" s="383"/>
      <c r="CGW1" s="383"/>
      <c r="CGX1" s="383"/>
      <c r="CGY1" s="383"/>
      <c r="CGZ1" s="383"/>
      <c r="CHA1" s="383"/>
      <c r="CHB1" s="383"/>
      <c r="CHC1" s="383"/>
      <c r="CHD1" s="383"/>
      <c r="CHE1" s="383"/>
      <c r="CHF1" s="383"/>
      <c r="CHG1" s="383"/>
      <c r="CHH1" s="383"/>
      <c r="CHI1" s="383"/>
      <c r="CHJ1" s="383"/>
      <c r="CHK1" s="383"/>
      <c r="CHL1" s="383"/>
      <c r="CHM1" s="383"/>
      <c r="CHN1" s="383"/>
      <c r="CHO1" s="383"/>
      <c r="CHP1" s="383"/>
      <c r="CHQ1" s="383"/>
      <c r="CHR1" s="383"/>
      <c r="CHS1" s="383"/>
      <c r="CHT1" s="383"/>
      <c r="CHU1" s="383"/>
      <c r="CHV1" s="383"/>
      <c r="CHW1" s="383"/>
      <c r="CHX1" s="383"/>
      <c r="CHY1" s="383"/>
      <c r="CHZ1" s="383"/>
      <c r="CIA1" s="383"/>
      <c r="CIB1" s="383"/>
      <c r="CIC1" s="383"/>
      <c r="CID1" s="383"/>
      <c r="CIE1" s="383"/>
      <c r="CIF1" s="383"/>
      <c r="CIG1" s="383"/>
      <c r="CIH1" s="383"/>
      <c r="CII1" s="383"/>
      <c r="CIJ1" s="383"/>
      <c r="CIK1" s="383"/>
      <c r="CIL1" s="383"/>
      <c r="CIM1" s="383"/>
      <c r="CIN1" s="383"/>
      <c r="CIO1" s="383"/>
      <c r="CIP1" s="383"/>
      <c r="CIQ1" s="383"/>
      <c r="CIR1" s="383"/>
      <c r="CIS1" s="383"/>
      <c r="CIT1" s="383"/>
      <c r="CIU1" s="383"/>
      <c r="CIV1" s="383"/>
      <c r="CIW1" s="383"/>
      <c r="CIX1" s="383"/>
      <c r="CIY1" s="383"/>
      <c r="CIZ1" s="383"/>
      <c r="CJA1" s="383"/>
      <c r="CJB1" s="383"/>
      <c r="CJC1" s="383"/>
      <c r="CJD1" s="383"/>
      <c r="CJE1" s="383"/>
      <c r="CJF1" s="383"/>
      <c r="CJG1" s="383"/>
      <c r="CJH1" s="383"/>
      <c r="CJI1" s="383"/>
      <c r="CJJ1" s="383"/>
      <c r="CJK1" s="383"/>
      <c r="CJL1" s="383"/>
      <c r="CJM1" s="383"/>
      <c r="CJN1" s="383"/>
      <c r="CJO1" s="383"/>
      <c r="CJP1" s="383"/>
      <c r="CJQ1" s="383"/>
      <c r="CJR1" s="383"/>
      <c r="CJS1" s="383"/>
      <c r="CJT1" s="383"/>
      <c r="CJU1" s="383"/>
      <c r="CJV1" s="383"/>
      <c r="CJW1" s="383"/>
      <c r="CJX1" s="383"/>
      <c r="CJY1" s="383"/>
      <c r="CJZ1" s="383"/>
      <c r="CKA1" s="383"/>
      <c r="CKB1" s="383"/>
      <c r="CKC1" s="383"/>
      <c r="CKD1" s="383"/>
      <c r="CKE1" s="383"/>
      <c r="CKF1" s="383"/>
      <c r="CKG1" s="383"/>
      <c r="CKH1" s="383"/>
      <c r="CKI1" s="383"/>
      <c r="CKJ1" s="383"/>
      <c r="CKK1" s="383"/>
      <c r="CKL1" s="383"/>
      <c r="CKM1" s="383"/>
      <c r="CKN1" s="383"/>
      <c r="CKO1" s="383"/>
      <c r="CKP1" s="383"/>
      <c r="CKQ1" s="383"/>
      <c r="CKR1" s="383"/>
      <c r="CKS1" s="383"/>
      <c r="CKT1" s="383"/>
      <c r="CKU1" s="383"/>
      <c r="CKV1" s="383"/>
      <c r="CKW1" s="383"/>
      <c r="CKX1" s="383"/>
      <c r="CKY1" s="383"/>
      <c r="CKZ1" s="383"/>
      <c r="CLA1" s="383"/>
      <c r="CLB1" s="383"/>
      <c r="CLC1" s="383"/>
      <c r="CLD1" s="383"/>
      <c r="CLE1" s="383"/>
      <c r="CLF1" s="383"/>
      <c r="CLG1" s="383"/>
      <c r="CLH1" s="383"/>
      <c r="CLI1" s="383"/>
      <c r="CLJ1" s="383"/>
      <c r="CLK1" s="383"/>
      <c r="CLL1" s="383"/>
      <c r="CLM1" s="383"/>
      <c r="CLN1" s="383"/>
      <c r="CLO1" s="383"/>
      <c r="CLP1" s="383"/>
      <c r="CLQ1" s="383"/>
      <c r="CLR1" s="383"/>
      <c r="CLS1" s="383"/>
      <c r="CLT1" s="383"/>
      <c r="CLU1" s="383"/>
      <c r="CLV1" s="383"/>
      <c r="CLW1" s="383"/>
      <c r="CLX1" s="383"/>
      <c r="CLY1" s="383"/>
      <c r="CLZ1" s="383"/>
      <c r="CMA1" s="383"/>
      <c r="CMB1" s="383"/>
      <c r="CMC1" s="383"/>
      <c r="CMD1" s="383"/>
      <c r="CME1" s="383"/>
      <c r="CMF1" s="383"/>
      <c r="CMG1" s="383"/>
      <c r="CMH1" s="383"/>
      <c r="CMI1" s="383"/>
      <c r="CMJ1" s="383"/>
      <c r="CMK1" s="383"/>
      <c r="CML1" s="383"/>
      <c r="CMM1" s="383"/>
      <c r="CMN1" s="383"/>
      <c r="CMO1" s="383"/>
      <c r="CMP1" s="383"/>
      <c r="CMQ1" s="383"/>
      <c r="CMR1" s="383"/>
      <c r="CMS1" s="383"/>
      <c r="CMT1" s="383"/>
      <c r="CMU1" s="383"/>
      <c r="CMV1" s="383"/>
      <c r="CMW1" s="383"/>
      <c r="CMX1" s="383"/>
      <c r="CMY1" s="383"/>
      <c r="CMZ1" s="383"/>
      <c r="CNA1" s="383"/>
      <c r="CNB1" s="383"/>
      <c r="CNC1" s="383"/>
      <c r="CND1" s="383"/>
      <c r="CNE1" s="383"/>
      <c r="CNF1" s="383"/>
      <c r="CNG1" s="383"/>
      <c r="CNH1" s="383"/>
      <c r="CNI1" s="383"/>
      <c r="CNJ1" s="383"/>
      <c r="CNK1" s="383"/>
      <c r="CNL1" s="383"/>
      <c r="CNM1" s="383"/>
      <c r="CNN1" s="383"/>
      <c r="CNO1" s="383"/>
      <c r="CNP1" s="383"/>
      <c r="CNQ1" s="383"/>
      <c r="CNR1" s="383"/>
      <c r="CNS1" s="383"/>
      <c r="CNT1" s="383"/>
      <c r="CNU1" s="383"/>
      <c r="CNV1" s="383"/>
      <c r="CNW1" s="383"/>
      <c r="CNX1" s="383"/>
      <c r="CNY1" s="383"/>
      <c r="CNZ1" s="383"/>
      <c r="COA1" s="383"/>
      <c r="COB1" s="383"/>
      <c r="COC1" s="383"/>
      <c r="COD1" s="383"/>
      <c r="COE1" s="383"/>
      <c r="COF1" s="383"/>
      <c r="COG1" s="383"/>
      <c r="COH1" s="383"/>
      <c r="COI1" s="383"/>
      <c r="COJ1" s="383"/>
      <c r="COK1" s="383"/>
      <c r="COL1" s="383"/>
      <c r="COM1" s="383"/>
      <c r="CON1" s="383"/>
      <c r="COO1" s="383"/>
      <c r="COP1" s="383"/>
      <c r="COQ1" s="383"/>
      <c r="COR1" s="383"/>
      <c r="COS1" s="383"/>
      <c r="COT1" s="383"/>
      <c r="COU1" s="383"/>
      <c r="COV1" s="383"/>
      <c r="COW1" s="383"/>
      <c r="COX1" s="383"/>
      <c r="COY1" s="383"/>
      <c r="COZ1" s="383"/>
      <c r="CPA1" s="383"/>
      <c r="CPB1" s="383"/>
      <c r="CPC1" s="383"/>
      <c r="CPD1" s="383"/>
      <c r="CPE1" s="383"/>
      <c r="CPF1" s="383"/>
      <c r="CPG1" s="383"/>
      <c r="CPH1" s="383"/>
      <c r="CPI1" s="383"/>
      <c r="CPJ1" s="383"/>
      <c r="CPK1" s="383"/>
      <c r="CPL1" s="383"/>
      <c r="CPM1" s="383"/>
      <c r="CPN1" s="383"/>
      <c r="CPO1" s="383"/>
      <c r="CPP1" s="383"/>
      <c r="CPQ1" s="383"/>
      <c r="CPR1" s="383"/>
      <c r="CPS1" s="383"/>
      <c r="CPT1" s="383"/>
      <c r="CPU1" s="383"/>
      <c r="CPV1" s="383"/>
      <c r="CPW1" s="383"/>
      <c r="CPX1" s="383"/>
      <c r="CPY1" s="383"/>
      <c r="CPZ1" s="383"/>
      <c r="CQA1" s="383"/>
      <c r="CQB1" s="383"/>
      <c r="CQC1" s="383"/>
      <c r="CQD1" s="383"/>
      <c r="CQE1" s="383"/>
      <c r="CQF1" s="383"/>
      <c r="CQG1" s="383"/>
      <c r="CQH1" s="383"/>
      <c r="CQI1" s="383"/>
      <c r="CQJ1" s="383"/>
      <c r="CQK1" s="383"/>
      <c r="CQL1" s="383"/>
      <c r="CQM1" s="383"/>
      <c r="CQN1" s="383"/>
      <c r="CQO1" s="383"/>
      <c r="CQP1" s="383"/>
      <c r="CQQ1" s="383"/>
      <c r="CQR1" s="383"/>
      <c r="CQS1" s="383"/>
      <c r="CQT1" s="383"/>
      <c r="CQU1" s="383"/>
      <c r="CQV1" s="383"/>
      <c r="CQW1" s="383"/>
      <c r="CQX1" s="383"/>
      <c r="CQY1" s="383"/>
      <c r="CQZ1" s="383"/>
      <c r="CRA1" s="383"/>
      <c r="CRB1" s="383"/>
      <c r="CRC1" s="383"/>
      <c r="CRD1" s="383"/>
      <c r="CRE1" s="383"/>
      <c r="CRF1" s="383"/>
      <c r="CRG1" s="383"/>
      <c r="CRH1" s="383"/>
      <c r="CRI1" s="383"/>
      <c r="CRJ1" s="383"/>
      <c r="CRK1" s="383"/>
      <c r="CRL1" s="383"/>
      <c r="CRM1" s="383"/>
      <c r="CRN1" s="383"/>
      <c r="CRO1" s="383"/>
      <c r="CRP1" s="383"/>
      <c r="CRQ1" s="383"/>
      <c r="CRR1" s="383"/>
      <c r="CRS1" s="383"/>
      <c r="CRT1" s="383"/>
      <c r="CRU1" s="383"/>
      <c r="CRV1" s="383"/>
      <c r="CRW1" s="383"/>
      <c r="CRX1" s="383"/>
      <c r="CRY1" s="383"/>
      <c r="CRZ1" s="383"/>
      <c r="CSA1" s="383"/>
      <c r="CSB1" s="383"/>
      <c r="CSC1" s="383"/>
      <c r="CSD1" s="383"/>
      <c r="CSE1" s="383"/>
      <c r="CSF1" s="383"/>
      <c r="CSG1" s="383"/>
      <c r="CSH1" s="383"/>
      <c r="CSI1" s="383"/>
      <c r="CSJ1" s="383"/>
      <c r="CSK1" s="383"/>
      <c r="CSL1" s="383"/>
      <c r="CSM1" s="383"/>
      <c r="CSN1" s="383"/>
      <c r="CSO1" s="383"/>
      <c r="CSP1" s="383"/>
      <c r="CSQ1" s="383"/>
      <c r="CSR1" s="383"/>
      <c r="CSS1" s="383"/>
      <c r="CST1" s="383"/>
      <c r="CSU1" s="383"/>
      <c r="CSV1" s="383"/>
      <c r="CSW1" s="383"/>
      <c r="CSX1" s="383"/>
      <c r="CSY1" s="383"/>
      <c r="CSZ1" s="383"/>
      <c r="CTA1" s="383"/>
      <c r="CTB1" s="383"/>
      <c r="CTC1" s="383"/>
      <c r="CTD1" s="383"/>
      <c r="CTE1" s="383"/>
      <c r="CTF1" s="383"/>
      <c r="CTG1" s="383"/>
      <c r="CTH1" s="383"/>
      <c r="CTI1" s="383"/>
      <c r="CTJ1" s="383"/>
      <c r="CTK1" s="383"/>
      <c r="CTL1" s="383"/>
      <c r="CTM1" s="383"/>
      <c r="CTN1" s="383"/>
      <c r="CTO1" s="383"/>
      <c r="CTP1" s="383"/>
      <c r="CTQ1" s="383"/>
      <c r="CTR1" s="383"/>
      <c r="CTS1" s="383"/>
      <c r="CTT1" s="383"/>
      <c r="CTU1" s="383"/>
      <c r="CTV1" s="383"/>
      <c r="CTW1" s="383"/>
      <c r="CTX1" s="383"/>
      <c r="CTY1" s="383"/>
      <c r="CTZ1" s="383"/>
      <c r="CUA1" s="383"/>
      <c r="CUB1" s="383"/>
      <c r="CUC1" s="383"/>
      <c r="CUD1" s="383"/>
      <c r="CUE1" s="383"/>
      <c r="CUF1" s="383"/>
      <c r="CUG1" s="383"/>
      <c r="CUH1" s="383"/>
      <c r="CUI1" s="383"/>
      <c r="CUJ1" s="383"/>
      <c r="CUK1" s="383"/>
      <c r="CUL1" s="383"/>
      <c r="CUM1" s="383"/>
      <c r="CUN1" s="383"/>
      <c r="CUO1" s="383"/>
      <c r="CUP1" s="383"/>
      <c r="CUQ1" s="383"/>
      <c r="CUR1" s="383"/>
      <c r="CUS1" s="383"/>
      <c r="CUT1" s="383"/>
      <c r="CUU1" s="383"/>
      <c r="CUV1" s="383"/>
      <c r="CUW1" s="383"/>
      <c r="CUX1" s="383"/>
      <c r="CUY1" s="383"/>
      <c r="CUZ1" s="383"/>
      <c r="CVA1" s="383"/>
      <c r="CVB1" s="383"/>
      <c r="CVC1" s="383"/>
      <c r="CVD1" s="383"/>
      <c r="CVE1" s="383"/>
      <c r="CVF1" s="383"/>
      <c r="CVG1" s="383"/>
      <c r="CVH1" s="383"/>
      <c r="CVI1" s="383"/>
      <c r="CVJ1" s="383"/>
      <c r="CVK1" s="383"/>
      <c r="CVL1" s="383"/>
      <c r="CVM1" s="383"/>
      <c r="CVN1" s="383"/>
      <c r="CVO1" s="383"/>
      <c r="CVP1" s="383"/>
      <c r="CVQ1" s="383"/>
      <c r="CVR1" s="383"/>
      <c r="CVS1" s="383"/>
      <c r="CVT1" s="383"/>
      <c r="CVU1" s="383"/>
      <c r="CVV1" s="383"/>
      <c r="CVW1" s="383"/>
      <c r="CVX1" s="383"/>
      <c r="CVY1" s="383"/>
      <c r="CVZ1" s="383"/>
      <c r="CWA1" s="383"/>
      <c r="CWB1" s="383"/>
      <c r="CWC1" s="383"/>
      <c r="CWD1" s="383"/>
      <c r="CWE1" s="383"/>
      <c r="CWF1" s="383"/>
      <c r="CWG1" s="383"/>
      <c r="CWH1" s="383"/>
      <c r="CWI1" s="383"/>
      <c r="CWJ1" s="383"/>
      <c r="CWK1" s="383"/>
      <c r="CWL1" s="383"/>
      <c r="CWM1" s="383"/>
      <c r="CWN1" s="383"/>
      <c r="CWO1" s="383"/>
      <c r="CWP1" s="383"/>
      <c r="CWQ1" s="383"/>
      <c r="CWR1" s="383"/>
      <c r="CWS1" s="383"/>
      <c r="CWT1" s="383"/>
      <c r="CWU1" s="383"/>
      <c r="CWV1" s="383"/>
      <c r="CWW1" s="383"/>
      <c r="CWX1" s="383"/>
      <c r="CWY1" s="383"/>
      <c r="CWZ1" s="383"/>
      <c r="CXA1" s="383"/>
      <c r="CXB1" s="383"/>
      <c r="CXC1" s="383"/>
      <c r="CXD1" s="383"/>
      <c r="CXE1" s="383"/>
      <c r="CXF1" s="383"/>
      <c r="CXG1" s="383"/>
      <c r="CXH1" s="383"/>
      <c r="CXI1" s="383"/>
      <c r="CXJ1" s="383"/>
      <c r="CXK1" s="383"/>
      <c r="CXL1" s="383"/>
      <c r="CXM1" s="383"/>
      <c r="CXN1" s="383"/>
      <c r="CXO1" s="383"/>
      <c r="CXP1" s="383"/>
      <c r="CXQ1" s="383"/>
      <c r="CXR1" s="383"/>
      <c r="CXS1" s="383"/>
      <c r="CXT1" s="383"/>
      <c r="CXU1" s="383"/>
      <c r="CXV1" s="383"/>
      <c r="CXW1" s="383"/>
      <c r="CXX1" s="383"/>
      <c r="CXY1" s="383"/>
      <c r="CXZ1" s="383"/>
      <c r="CYA1" s="383"/>
      <c r="CYB1" s="383"/>
      <c r="CYC1" s="383"/>
      <c r="CYD1" s="383"/>
      <c r="CYE1" s="383"/>
      <c r="CYF1" s="383"/>
      <c r="CYG1" s="383"/>
      <c r="CYH1" s="383"/>
      <c r="CYI1" s="383"/>
      <c r="CYJ1" s="383"/>
      <c r="CYK1" s="383"/>
      <c r="CYL1" s="383"/>
      <c r="CYM1" s="383"/>
      <c r="CYN1" s="383"/>
      <c r="CYO1" s="383"/>
      <c r="CYP1" s="383"/>
      <c r="CYQ1" s="383"/>
      <c r="CYR1" s="383"/>
      <c r="CYS1" s="383"/>
      <c r="CYT1" s="383"/>
      <c r="CYU1" s="383"/>
      <c r="CYV1" s="383"/>
      <c r="CYW1" s="383"/>
      <c r="CYX1" s="383"/>
      <c r="CYY1" s="383"/>
      <c r="CYZ1" s="383"/>
      <c r="CZA1" s="383"/>
      <c r="CZB1" s="383"/>
      <c r="CZC1" s="383"/>
      <c r="CZD1" s="383"/>
      <c r="CZE1" s="383"/>
      <c r="CZF1" s="383"/>
      <c r="CZG1" s="383"/>
      <c r="CZH1" s="383"/>
      <c r="CZI1" s="383"/>
      <c r="CZJ1" s="383"/>
      <c r="CZK1" s="383"/>
      <c r="CZL1" s="383"/>
      <c r="CZM1" s="383"/>
      <c r="CZN1" s="383"/>
      <c r="CZO1" s="383"/>
      <c r="CZP1" s="383"/>
      <c r="CZQ1" s="383"/>
      <c r="CZR1" s="383"/>
      <c r="CZS1" s="383"/>
      <c r="CZT1" s="383"/>
      <c r="CZU1" s="383"/>
      <c r="CZV1" s="383"/>
      <c r="CZW1" s="383"/>
      <c r="CZX1" s="383"/>
      <c r="CZY1" s="383"/>
      <c r="CZZ1" s="383"/>
      <c r="DAA1" s="383"/>
      <c r="DAB1" s="383"/>
      <c r="DAC1" s="383"/>
      <c r="DAD1" s="383"/>
      <c r="DAE1" s="383"/>
      <c r="DAF1" s="383"/>
      <c r="DAG1" s="383"/>
      <c r="DAH1" s="383"/>
      <c r="DAI1" s="383"/>
      <c r="DAJ1" s="383"/>
      <c r="DAK1" s="383"/>
      <c r="DAL1" s="383"/>
      <c r="DAM1" s="383"/>
      <c r="DAN1" s="383"/>
      <c r="DAO1" s="383"/>
      <c r="DAP1" s="383"/>
      <c r="DAQ1" s="383"/>
      <c r="DAR1" s="383"/>
      <c r="DAS1" s="383"/>
      <c r="DAT1" s="383"/>
      <c r="DAU1" s="383"/>
      <c r="DAV1" s="383"/>
      <c r="DAW1" s="383"/>
      <c r="DAX1" s="383"/>
      <c r="DAY1" s="383"/>
      <c r="DAZ1" s="383"/>
      <c r="DBA1" s="383"/>
      <c r="DBB1" s="383"/>
      <c r="DBC1" s="383"/>
      <c r="DBD1" s="383"/>
      <c r="DBE1" s="383"/>
      <c r="DBF1" s="383"/>
      <c r="DBG1" s="383"/>
      <c r="DBH1" s="383"/>
      <c r="DBI1" s="383"/>
      <c r="DBJ1" s="383"/>
      <c r="DBK1" s="383"/>
      <c r="DBL1" s="383"/>
      <c r="DBM1" s="383"/>
      <c r="DBN1" s="383"/>
      <c r="DBO1" s="383"/>
      <c r="DBP1" s="383"/>
      <c r="DBQ1" s="383"/>
      <c r="DBR1" s="383"/>
      <c r="DBS1" s="383"/>
      <c r="DBT1" s="383"/>
      <c r="DBU1" s="383"/>
      <c r="DBV1" s="383"/>
      <c r="DBW1" s="383"/>
      <c r="DBX1" s="383"/>
      <c r="DBY1" s="383"/>
      <c r="DBZ1" s="383"/>
      <c r="DCA1" s="383"/>
      <c r="DCB1" s="383"/>
      <c r="DCC1" s="383"/>
      <c r="DCD1" s="383"/>
      <c r="DCE1" s="383"/>
      <c r="DCF1" s="383"/>
      <c r="DCG1" s="383"/>
      <c r="DCH1" s="383"/>
      <c r="DCI1" s="383"/>
      <c r="DCJ1" s="383"/>
      <c r="DCK1" s="383"/>
      <c r="DCL1" s="383"/>
      <c r="DCM1" s="383"/>
      <c r="DCN1" s="383"/>
      <c r="DCO1" s="383"/>
      <c r="DCP1" s="383"/>
      <c r="DCQ1" s="383"/>
      <c r="DCR1" s="383"/>
      <c r="DCS1" s="383"/>
      <c r="DCT1" s="383"/>
      <c r="DCU1" s="383"/>
      <c r="DCV1" s="383"/>
      <c r="DCW1" s="383"/>
      <c r="DCX1" s="383"/>
      <c r="DCY1" s="383"/>
      <c r="DCZ1" s="383"/>
      <c r="DDA1" s="383"/>
      <c r="DDB1" s="383"/>
      <c r="DDC1" s="383"/>
      <c r="DDD1" s="383"/>
      <c r="DDE1" s="383"/>
      <c r="DDF1" s="383"/>
      <c r="DDG1" s="383"/>
      <c r="DDH1" s="383"/>
      <c r="DDI1" s="383"/>
      <c r="DDJ1" s="383"/>
      <c r="DDK1" s="383"/>
      <c r="DDL1" s="383"/>
      <c r="DDM1" s="383"/>
      <c r="DDN1" s="383"/>
      <c r="DDO1" s="383"/>
      <c r="DDP1" s="383"/>
      <c r="DDQ1" s="383"/>
      <c r="DDR1" s="383"/>
      <c r="DDS1" s="383"/>
      <c r="DDT1" s="383"/>
      <c r="DDU1" s="383"/>
      <c r="DDV1" s="383"/>
      <c r="DDW1" s="383"/>
      <c r="DDX1" s="383"/>
      <c r="DDY1" s="383"/>
      <c r="DDZ1" s="383"/>
      <c r="DEA1" s="383"/>
      <c r="DEB1" s="383"/>
      <c r="DEC1" s="383"/>
      <c r="DED1" s="383"/>
      <c r="DEE1" s="383"/>
      <c r="DEF1" s="383"/>
      <c r="DEG1" s="383"/>
      <c r="DEH1" s="383"/>
      <c r="DEI1" s="383"/>
      <c r="DEJ1" s="383"/>
      <c r="DEK1" s="383"/>
      <c r="DEL1" s="383"/>
      <c r="DEM1" s="383"/>
      <c r="DEN1" s="383"/>
      <c r="DEO1" s="383"/>
      <c r="DEP1" s="383"/>
      <c r="DEQ1" s="383"/>
      <c r="DER1" s="383"/>
      <c r="DES1" s="383"/>
      <c r="DET1" s="383"/>
      <c r="DEU1" s="383"/>
      <c r="DEV1" s="383"/>
      <c r="DEW1" s="383"/>
      <c r="DEX1" s="383"/>
      <c r="DEY1" s="383"/>
      <c r="DEZ1" s="383"/>
      <c r="DFA1" s="383"/>
      <c r="DFB1" s="383"/>
      <c r="DFC1" s="383"/>
      <c r="DFD1" s="383"/>
      <c r="DFE1" s="383"/>
      <c r="DFF1" s="383"/>
      <c r="DFG1" s="383"/>
      <c r="DFH1" s="383"/>
      <c r="DFI1" s="383"/>
      <c r="DFJ1" s="383"/>
      <c r="DFK1" s="383"/>
      <c r="DFL1" s="383"/>
      <c r="DFM1" s="383"/>
      <c r="DFN1" s="383"/>
      <c r="DFO1" s="383"/>
      <c r="DFP1" s="383"/>
      <c r="DFQ1" s="383"/>
      <c r="DFR1" s="383"/>
      <c r="DFS1" s="383"/>
      <c r="DFT1" s="383"/>
      <c r="DFU1" s="383"/>
      <c r="DFV1" s="383"/>
      <c r="DFW1" s="383"/>
      <c r="DFX1" s="383"/>
      <c r="DFY1" s="383"/>
      <c r="DFZ1" s="383"/>
      <c r="DGA1" s="383"/>
      <c r="DGB1" s="383"/>
      <c r="DGC1" s="383"/>
      <c r="DGD1" s="383"/>
      <c r="DGE1" s="383"/>
      <c r="DGF1" s="383"/>
      <c r="DGG1" s="383"/>
      <c r="DGH1" s="383"/>
      <c r="DGI1" s="383"/>
      <c r="DGJ1" s="383"/>
      <c r="DGK1" s="383"/>
      <c r="DGL1" s="383"/>
      <c r="DGM1" s="383"/>
      <c r="DGN1" s="383"/>
      <c r="DGO1" s="383"/>
      <c r="DGP1" s="383"/>
      <c r="DGQ1" s="383"/>
      <c r="DGR1" s="383"/>
      <c r="DGS1" s="383"/>
      <c r="DGT1" s="383"/>
      <c r="DGU1" s="383"/>
      <c r="DGV1" s="383"/>
      <c r="DGW1" s="383"/>
      <c r="DGX1" s="383"/>
      <c r="DGY1" s="383"/>
      <c r="DGZ1" s="383"/>
      <c r="DHA1" s="383"/>
      <c r="DHB1" s="383"/>
      <c r="DHC1" s="383"/>
      <c r="DHD1" s="383"/>
      <c r="DHE1" s="383"/>
      <c r="DHF1" s="383"/>
      <c r="DHG1" s="383"/>
      <c r="DHH1" s="383"/>
      <c r="DHI1" s="383"/>
      <c r="DHJ1" s="383"/>
      <c r="DHK1" s="383"/>
      <c r="DHL1" s="383"/>
      <c r="DHM1" s="383"/>
      <c r="DHN1" s="383"/>
      <c r="DHO1" s="383"/>
      <c r="DHP1" s="383"/>
      <c r="DHQ1" s="383"/>
      <c r="DHR1" s="383"/>
      <c r="DHS1" s="383"/>
      <c r="DHT1" s="383"/>
      <c r="DHU1" s="383"/>
      <c r="DHV1" s="383"/>
      <c r="DHW1" s="383"/>
      <c r="DHX1" s="383"/>
      <c r="DHY1" s="383"/>
      <c r="DHZ1" s="383"/>
      <c r="DIA1" s="383"/>
      <c r="DIB1" s="383"/>
      <c r="DIC1" s="383"/>
      <c r="DID1" s="383"/>
      <c r="DIE1" s="383"/>
      <c r="DIF1" s="383"/>
      <c r="DIG1" s="383"/>
      <c r="DIH1" s="383"/>
      <c r="DII1" s="383"/>
      <c r="DIJ1" s="383"/>
      <c r="DIK1" s="383"/>
      <c r="DIL1" s="383"/>
      <c r="DIM1" s="383"/>
      <c r="DIN1" s="383"/>
      <c r="DIO1" s="383"/>
      <c r="DIP1" s="383"/>
      <c r="DIQ1" s="383"/>
      <c r="DIR1" s="383"/>
      <c r="DIS1" s="383"/>
      <c r="DIT1" s="383"/>
      <c r="DIU1" s="383"/>
      <c r="DIV1" s="383"/>
      <c r="DIW1" s="383"/>
      <c r="DIX1" s="383"/>
      <c r="DIY1" s="383"/>
      <c r="DIZ1" s="383"/>
      <c r="DJA1" s="383"/>
      <c r="DJB1" s="383"/>
      <c r="DJC1" s="383"/>
      <c r="DJD1" s="383"/>
      <c r="DJE1" s="383"/>
      <c r="DJF1" s="383"/>
      <c r="DJG1" s="383"/>
      <c r="DJH1" s="383"/>
      <c r="DJI1" s="383"/>
      <c r="DJJ1" s="383"/>
      <c r="DJK1" s="383"/>
      <c r="DJL1" s="383"/>
      <c r="DJM1" s="383"/>
      <c r="DJN1" s="383"/>
      <c r="DJO1" s="383"/>
      <c r="DJP1" s="383"/>
      <c r="DJQ1" s="383"/>
      <c r="DJR1" s="383"/>
      <c r="DJS1" s="383"/>
      <c r="DJT1" s="383"/>
      <c r="DJU1" s="383"/>
      <c r="DJV1" s="383"/>
      <c r="DJW1" s="383"/>
      <c r="DJX1" s="383"/>
      <c r="DJY1" s="383"/>
      <c r="DJZ1" s="383"/>
      <c r="DKA1" s="383"/>
      <c r="DKB1" s="383"/>
      <c r="DKC1" s="383"/>
      <c r="DKD1" s="383"/>
      <c r="DKE1" s="383"/>
      <c r="DKF1" s="383"/>
      <c r="DKG1" s="383"/>
      <c r="DKH1" s="383"/>
      <c r="DKI1" s="383"/>
      <c r="DKJ1" s="383"/>
      <c r="DKK1" s="383"/>
      <c r="DKL1" s="383"/>
      <c r="DKM1" s="383"/>
      <c r="DKN1" s="383"/>
      <c r="DKO1" s="383"/>
      <c r="DKP1" s="383"/>
      <c r="DKQ1" s="383"/>
      <c r="DKR1" s="383"/>
      <c r="DKS1" s="383"/>
      <c r="DKT1" s="383"/>
      <c r="DKU1" s="383"/>
      <c r="DKV1" s="383"/>
      <c r="DKW1" s="383"/>
      <c r="DKX1" s="383"/>
      <c r="DKY1" s="383"/>
      <c r="DKZ1" s="383"/>
      <c r="DLA1" s="383"/>
      <c r="DLB1" s="383"/>
      <c r="DLC1" s="383"/>
      <c r="DLD1" s="383"/>
      <c r="DLE1" s="383"/>
      <c r="DLF1" s="383"/>
      <c r="DLG1" s="383"/>
      <c r="DLH1" s="383"/>
      <c r="DLI1" s="383"/>
      <c r="DLJ1" s="383"/>
      <c r="DLK1" s="383"/>
      <c r="DLL1" s="383"/>
      <c r="DLM1" s="383"/>
      <c r="DLN1" s="383"/>
      <c r="DLO1" s="383"/>
      <c r="DLP1" s="383"/>
      <c r="DLQ1" s="383"/>
      <c r="DLR1" s="383"/>
      <c r="DLS1" s="383"/>
      <c r="DLT1" s="383"/>
      <c r="DLU1" s="383"/>
      <c r="DLV1" s="383"/>
      <c r="DLW1" s="383"/>
      <c r="DLX1" s="383"/>
      <c r="DLY1" s="383"/>
      <c r="DLZ1" s="383"/>
      <c r="DMA1" s="383"/>
      <c r="DMB1" s="383"/>
      <c r="DMC1" s="383"/>
      <c r="DMD1" s="383"/>
      <c r="DME1" s="383"/>
      <c r="DMF1" s="383"/>
      <c r="DMG1" s="383"/>
      <c r="DMH1" s="383"/>
      <c r="DMI1" s="383"/>
      <c r="DMJ1" s="383"/>
      <c r="DMK1" s="383"/>
      <c r="DML1" s="383"/>
      <c r="DMM1" s="383"/>
      <c r="DMN1" s="383"/>
      <c r="DMO1" s="383"/>
      <c r="DMP1" s="383"/>
      <c r="DMQ1" s="383"/>
      <c r="DMR1" s="383"/>
      <c r="DMS1" s="383"/>
      <c r="DMT1" s="383"/>
      <c r="DMU1" s="383"/>
      <c r="DMV1" s="383"/>
      <c r="DMW1" s="383"/>
      <c r="DMX1" s="383"/>
      <c r="DMY1" s="383"/>
      <c r="DMZ1" s="383"/>
      <c r="DNA1" s="383"/>
      <c r="DNB1" s="383"/>
      <c r="DNC1" s="383"/>
      <c r="DND1" s="383"/>
      <c r="DNE1" s="383"/>
      <c r="DNF1" s="383"/>
      <c r="DNG1" s="383"/>
      <c r="DNH1" s="383"/>
      <c r="DNI1" s="383"/>
      <c r="DNJ1" s="383"/>
      <c r="DNK1" s="383"/>
      <c r="DNL1" s="383"/>
      <c r="DNM1" s="383"/>
      <c r="DNN1" s="383"/>
      <c r="DNO1" s="383"/>
      <c r="DNP1" s="383"/>
      <c r="DNQ1" s="383"/>
      <c r="DNR1" s="383"/>
      <c r="DNS1" s="383"/>
      <c r="DNT1" s="383"/>
      <c r="DNU1" s="383"/>
      <c r="DNV1" s="383"/>
      <c r="DNW1" s="383"/>
      <c r="DNX1" s="383"/>
      <c r="DNY1" s="383"/>
      <c r="DNZ1" s="383"/>
      <c r="DOA1" s="383"/>
      <c r="DOB1" s="383"/>
      <c r="DOC1" s="383"/>
      <c r="DOD1" s="383"/>
      <c r="DOE1" s="383"/>
      <c r="DOF1" s="383"/>
      <c r="DOG1" s="383"/>
      <c r="DOH1" s="383"/>
      <c r="DOI1" s="383"/>
      <c r="DOJ1" s="383"/>
      <c r="DOK1" s="383"/>
      <c r="DOL1" s="383"/>
      <c r="DOM1" s="383"/>
      <c r="DON1" s="383"/>
      <c r="DOO1" s="383"/>
      <c r="DOP1" s="383"/>
      <c r="DOQ1" s="383"/>
      <c r="DOR1" s="383"/>
      <c r="DOS1" s="383"/>
      <c r="DOT1" s="383"/>
      <c r="DOU1" s="383"/>
      <c r="DOV1" s="383"/>
      <c r="DOW1" s="383"/>
      <c r="DOX1" s="383"/>
      <c r="DOY1" s="383"/>
      <c r="DOZ1" s="383"/>
      <c r="DPA1" s="383"/>
      <c r="DPB1" s="383"/>
      <c r="DPC1" s="383"/>
      <c r="DPD1" s="383"/>
      <c r="DPE1" s="383"/>
      <c r="DPF1" s="383"/>
      <c r="DPG1" s="383"/>
      <c r="DPH1" s="383"/>
      <c r="DPI1" s="383"/>
      <c r="DPJ1" s="383"/>
      <c r="DPK1" s="383"/>
      <c r="DPL1" s="383"/>
      <c r="DPM1" s="383"/>
      <c r="DPN1" s="383"/>
      <c r="DPO1" s="383"/>
      <c r="DPP1" s="383"/>
      <c r="DPQ1" s="383"/>
      <c r="DPR1" s="383"/>
      <c r="DPS1" s="383"/>
      <c r="DPT1" s="383"/>
      <c r="DPU1" s="383"/>
      <c r="DPV1" s="383"/>
      <c r="DPW1" s="383"/>
      <c r="DPX1" s="383"/>
      <c r="DPY1" s="383"/>
      <c r="DPZ1" s="383"/>
      <c r="DQA1" s="383"/>
      <c r="DQB1" s="383"/>
      <c r="DQC1" s="383"/>
      <c r="DQD1" s="383"/>
      <c r="DQE1" s="383"/>
      <c r="DQF1" s="383"/>
      <c r="DQG1" s="383"/>
      <c r="DQH1" s="383"/>
      <c r="DQI1" s="383"/>
      <c r="DQJ1" s="383"/>
      <c r="DQK1" s="383"/>
      <c r="DQL1" s="383"/>
      <c r="DQM1" s="383"/>
      <c r="DQN1" s="383"/>
      <c r="DQO1" s="383"/>
      <c r="DQP1" s="383"/>
      <c r="DQQ1" s="383"/>
      <c r="DQR1" s="383"/>
      <c r="DQS1" s="383"/>
      <c r="DQT1" s="383"/>
      <c r="DQU1" s="383"/>
      <c r="DQV1" s="383"/>
      <c r="DQW1" s="383"/>
      <c r="DQX1" s="383"/>
      <c r="DQY1" s="383"/>
      <c r="DQZ1" s="383"/>
      <c r="DRA1" s="383"/>
      <c r="DRB1" s="383"/>
      <c r="DRC1" s="383"/>
      <c r="DRD1" s="383"/>
      <c r="DRE1" s="383"/>
      <c r="DRF1" s="383"/>
      <c r="DRG1" s="383"/>
      <c r="DRH1" s="383"/>
      <c r="DRI1" s="383"/>
      <c r="DRJ1" s="383"/>
      <c r="DRK1" s="383"/>
      <c r="DRL1" s="383"/>
      <c r="DRM1" s="383"/>
      <c r="DRN1" s="383"/>
      <c r="DRO1" s="383"/>
      <c r="DRP1" s="383"/>
      <c r="DRQ1" s="383"/>
      <c r="DRR1" s="383"/>
      <c r="DRS1" s="383"/>
      <c r="DRT1" s="383"/>
      <c r="DRU1" s="383"/>
      <c r="DRV1" s="383"/>
      <c r="DRW1" s="383"/>
      <c r="DRX1" s="383"/>
      <c r="DRY1" s="383"/>
      <c r="DRZ1" s="383"/>
      <c r="DSA1" s="383"/>
      <c r="DSB1" s="383"/>
      <c r="DSC1" s="383"/>
      <c r="DSD1" s="383"/>
      <c r="DSE1" s="383"/>
      <c r="DSF1" s="383"/>
      <c r="DSG1" s="383"/>
      <c r="DSH1" s="383"/>
      <c r="DSI1" s="383"/>
      <c r="DSJ1" s="383"/>
      <c r="DSK1" s="383"/>
      <c r="DSL1" s="383"/>
      <c r="DSM1" s="383"/>
      <c r="DSN1" s="383"/>
      <c r="DSO1" s="383"/>
      <c r="DSP1" s="383"/>
      <c r="DSQ1" s="383"/>
      <c r="DSR1" s="383"/>
      <c r="DSS1" s="383"/>
      <c r="DST1" s="383"/>
      <c r="DSU1" s="383"/>
      <c r="DSV1" s="383"/>
      <c r="DSW1" s="383"/>
      <c r="DSX1" s="383"/>
      <c r="DSY1" s="383"/>
      <c r="DSZ1" s="383"/>
      <c r="DTA1" s="383"/>
      <c r="DTB1" s="383"/>
      <c r="DTC1" s="383"/>
      <c r="DTD1" s="383"/>
      <c r="DTE1" s="383"/>
      <c r="DTF1" s="383"/>
      <c r="DTG1" s="383"/>
      <c r="DTH1" s="383"/>
      <c r="DTI1" s="383"/>
      <c r="DTJ1" s="383"/>
      <c r="DTK1" s="383"/>
      <c r="DTL1" s="383"/>
      <c r="DTM1" s="383"/>
      <c r="DTN1" s="383"/>
      <c r="DTO1" s="383"/>
      <c r="DTP1" s="383"/>
      <c r="DTQ1" s="383"/>
      <c r="DTR1" s="383"/>
      <c r="DTS1" s="383"/>
      <c r="DTT1" s="383"/>
      <c r="DTU1" s="383"/>
      <c r="DTV1" s="383"/>
      <c r="DTW1" s="383"/>
      <c r="DTX1" s="383"/>
      <c r="DTY1" s="383"/>
      <c r="DTZ1" s="383"/>
      <c r="DUA1" s="383"/>
      <c r="DUB1" s="383"/>
      <c r="DUC1" s="383"/>
      <c r="DUD1" s="383"/>
      <c r="DUE1" s="383"/>
      <c r="DUF1" s="383"/>
      <c r="DUG1" s="383"/>
      <c r="DUH1" s="383"/>
      <c r="DUI1" s="383"/>
      <c r="DUJ1" s="383"/>
      <c r="DUK1" s="383"/>
      <c r="DUL1" s="383"/>
      <c r="DUM1" s="383"/>
      <c r="DUN1" s="383"/>
      <c r="DUO1" s="383"/>
      <c r="DUP1" s="383"/>
      <c r="DUQ1" s="383"/>
      <c r="DUR1" s="383"/>
      <c r="DUS1" s="383"/>
      <c r="DUT1" s="383"/>
      <c r="DUU1" s="383"/>
      <c r="DUV1" s="383"/>
      <c r="DUW1" s="383"/>
      <c r="DUX1" s="383"/>
      <c r="DUY1" s="383"/>
      <c r="DUZ1" s="383"/>
      <c r="DVA1" s="383"/>
      <c r="DVB1" s="383"/>
      <c r="DVC1" s="383"/>
      <c r="DVD1" s="383"/>
      <c r="DVE1" s="383"/>
      <c r="DVF1" s="383"/>
      <c r="DVG1" s="383"/>
      <c r="DVH1" s="383"/>
      <c r="DVI1" s="383"/>
      <c r="DVJ1" s="383"/>
      <c r="DVK1" s="383"/>
      <c r="DVL1" s="383"/>
      <c r="DVM1" s="383"/>
      <c r="DVN1" s="383"/>
      <c r="DVO1" s="383"/>
      <c r="DVP1" s="383"/>
      <c r="DVQ1" s="383"/>
      <c r="DVR1" s="383"/>
      <c r="DVS1" s="383"/>
      <c r="DVT1" s="383"/>
      <c r="DVU1" s="383"/>
      <c r="DVV1" s="383"/>
      <c r="DVW1" s="383"/>
      <c r="DVX1" s="383"/>
      <c r="DVY1" s="383"/>
      <c r="DVZ1" s="383"/>
      <c r="DWA1" s="383"/>
      <c r="DWB1" s="383"/>
      <c r="DWC1" s="383"/>
      <c r="DWD1" s="383"/>
      <c r="DWE1" s="383"/>
      <c r="DWF1" s="383"/>
      <c r="DWG1" s="383"/>
      <c r="DWH1" s="383"/>
      <c r="DWI1" s="383"/>
      <c r="DWJ1" s="383"/>
      <c r="DWK1" s="383"/>
      <c r="DWL1" s="383"/>
      <c r="DWM1" s="383"/>
      <c r="DWN1" s="383"/>
      <c r="DWO1" s="383"/>
      <c r="DWP1" s="383"/>
      <c r="DWQ1" s="383"/>
      <c r="DWR1" s="383"/>
      <c r="DWS1" s="383"/>
      <c r="DWT1" s="383"/>
      <c r="DWU1" s="383"/>
      <c r="DWV1" s="383"/>
      <c r="DWW1" s="383"/>
      <c r="DWX1" s="383"/>
      <c r="DWY1" s="383"/>
      <c r="DWZ1" s="383"/>
      <c r="DXA1" s="383"/>
      <c r="DXB1" s="383"/>
      <c r="DXC1" s="383"/>
      <c r="DXD1" s="383"/>
      <c r="DXE1" s="383"/>
      <c r="DXF1" s="383"/>
      <c r="DXG1" s="383"/>
      <c r="DXH1" s="383"/>
      <c r="DXI1" s="383"/>
      <c r="DXJ1" s="383"/>
      <c r="DXK1" s="383"/>
      <c r="DXL1" s="383"/>
      <c r="DXM1" s="383"/>
      <c r="DXN1" s="383"/>
      <c r="DXO1" s="383"/>
      <c r="DXP1" s="383"/>
      <c r="DXQ1" s="383"/>
      <c r="DXR1" s="383"/>
      <c r="DXS1" s="383"/>
      <c r="DXT1" s="383"/>
      <c r="DXU1" s="383"/>
      <c r="DXV1" s="383"/>
      <c r="DXW1" s="383"/>
      <c r="DXX1" s="383"/>
      <c r="DXY1" s="383"/>
      <c r="DXZ1" s="383"/>
      <c r="DYA1" s="383"/>
      <c r="DYB1" s="383"/>
      <c r="DYC1" s="383"/>
      <c r="DYD1" s="383"/>
      <c r="DYE1" s="383"/>
      <c r="DYF1" s="383"/>
      <c r="DYG1" s="383"/>
      <c r="DYH1" s="383"/>
      <c r="DYI1" s="383"/>
      <c r="DYJ1" s="383"/>
      <c r="DYK1" s="383"/>
      <c r="DYL1" s="383"/>
      <c r="DYM1" s="383"/>
      <c r="DYN1" s="383"/>
      <c r="DYO1" s="383"/>
      <c r="DYP1" s="383"/>
      <c r="DYQ1" s="383"/>
      <c r="DYR1" s="383"/>
      <c r="DYS1" s="383"/>
      <c r="DYT1" s="383"/>
      <c r="DYU1" s="383"/>
      <c r="DYV1" s="383"/>
      <c r="DYW1" s="383"/>
      <c r="DYX1" s="383"/>
      <c r="DYY1" s="383"/>
      <c r="DYZ1" s="383"/>
      <c r="DZA1" s="383"/>
      <c r="DZB1" s="383"/>
      <c r="DZC1" s="383"/>
      <c r="DZD1" s="383"/>
      <c r="DZE1" s="383"/>
      <c r="DZF1" s="383"/>
      <c r="DZG1" s="383"/>
      <c r="DZH1" s="383"/>
      <c r="DZI1" s="383"/>
      <c r="DZJ1" s="383"/>
      <c r="DZK1" s="383"/>
      <c r="DZL1" s="383"/>
      <c r="DZM1" s="383"/>
      <c r="DZN1" s="383"/>
      <c r="DZO1" s="383"/>
      <c r="DZP1" s="383"/>
      <c r="DZQ1" s="383"/>
      <c r="DZR1" s="383"/>
      <c r="DZS1" s="383"/>
      <c r="DZT1" s="383"/>
      <c r="DZU1" s="383"/>
      <c r="DZV1" s="383"/>
      <c r="DZW1" s="383"/>
      <c r="DZX1" s="383"/>
      <c r="DZY1" s="383"/>
      <c r="DZZ1" s="383"/>
      <c r="EAA1" s="383"/>
      <c r="EAB1" s="383"/>
      <c r="EAC1" s="383"/>
      <c r="EAD1" s="383"/>
      <c r="EAE1" s="383"/>
      <c r="EAF1" s="383"/>
      <c r="EAG1" s="383"/>
      <c r="EAH1" s="383"/>
      <c r="EAI1" s="383"/>
      <c r="EAJ1" s="383"/>
      <c r="EAK1" s="383"/>
      <c r="EAL1" s="383"/>
      <c r="EAM1" s="383"/>
      <c r="EAN1" s="383"/>
      <c r="EAO1" s="383"/>
      <c r="EAP1" s="383"/>
      <c r="EAQ1" s="383"/>
      <c r="EAR1" s="383"/>
      <c r="EAS1" s="383"/>
      <c r="EAT1" s="383"/>
      <c r="EAU1" s="383"/>
      <c r="EAV1" s="383"/>
      <c r="EAW1" s="383"/>
      <c r="EAX1" s="383"/>
      <c r="EAY1" s="383"/>
      <c r="EAZ1" s="383"/>
      <c r="EBA1" s="383"/>
      <c r="EBB1" s="383"/>
      <c r="EBC1" s="383"/>
      <c r="EBD1" s="383"/>
      <c r="EBE1" s="383"/>
      <c r="EBF1" s="383"/>
      <c r="EBG1" s="383"/>
      <c r="EBH1" s="383"/>
      <c r="EBI1" s="383"/>
      <c r="EBJ1" s="383"/>
      <c r="EBK1" s="383"/>
      <c r="EBL1" s="383"/>
      <c r="EBM1" s="383"/>
      <c r="EBN1" s="383"/>
      <c r="EBO1" s="383"/>
      <c r="EBP1" s="383"/>
      <c r="EBQ1" s="383"/>
      <c r="EBR1" s="383"/>
      <c r="EBS1" s="383"/>
      <c r="EBT1" s="383"/>
      <c r="EBU1" s="383"/>
      <c r="EBV1" s="383"/>
      <c r="EBW1" s="383"/>
      <c r="EBX1" s="383"/>
      <c r="EBY1" s="383"/>
      <c r="EBZ1" s="383"/>
      <c r="ECA1" s="383"/>
      <c r="ECB1" s="383"/>
      <c r="ECC1" s="383"/>
      <c r="ECD1" s="383"/>
      <c r="ECE1" s="383"/>
      <c r="ECF1" s="383"/>
      <c r="ECG1" s="383"/>
      <c r="ECH1" s="383"/>
      <c r="ECI1" s="383"/>
      <c r="ECJ1" s="383"/>
      <c r="ECK1" s="383"/>
      <c r="ECL1" s="383"/>
      <c r="ECM1" s="383"/>
      <c r="ECN1" s="383"/>
      <c r="ECO1" s="383"/>
      <c r="ECP1" s="383"/>
      <c r="ECQ1" s="383"/>
      <c r="ECR1" s="383"/>
      <c r="ECS1" s="383"/>
      <c r="ECT1" s="383"/>
      <c r="ECU1" s="383"/>
      <c r="ECV1" s="383"/>
      <c r="ECW1" s="383"/>
      <c r="ECX1" s="383"/>
      <c r="ECY1" s="383"/>
      <c r="ECZ1" s="383"/>
      <c r="EDA1" s="383"/>
      <c r="EDB1" s="383"/>
      <c r="EDC1" s="383"/>
      <c r="EDD1" s="383"/>
      <c r="EDE1" s="383"/>
      <c r="EDF1" s="383"/>
      <c r="EDG1" s="383"/>
      <c r="EDH1" s="383"/>
      <c r="EDI1" s="383"/>
      <c r="EDJ1" s="383"/>
      <c r="EDK1" s="383"/>
      <c r="EDL1" s="383"/>
      <c r="EDM1" s="383"/>
      <c r="EDN1" s="383"/>
      <c r="EDO1" s="383"/>
      <c r="EDP1" s="383"/>
      <c r="EDQ1" s="383"/>
      <c r="EDR1" s="383"/>
      <c r="EDS1" s="383"/>
      <c r="EDT1" s="383"/>
      <c r="EDU1" s="383"/>
      <c r="EDV1" s="383"/>
      <c r="EDW1" s="383"/>
      <c r="EDX1" s="383"/>
      <c r="EDY1" s="383"/>
      <c r="EDZ1" s="383"/>
      <c r="EEA1" s="383"/>
      <c r="EEB1" s="383"/>
      <c r="EEC1" s="383"/>
      <c r="EED1" s="383"/>
      <c r="EEE1" s="383"/>
      <c r="EEF1" s="383"/>
      <c r="EEG1" s="383"/>
      <c r="EEH1" s="383"/>
      <c r="EEI1" s="383"/>
      <c r="EEJ1" s="383"/>
      <c r="EEK1" s="383"/>
      <c r="EEL1" s="383"/>
      <c r="EEM1" s="383"/>
      <c r="EEN1" s="383"/>
      <c r="EEO1" s="383"/>
      <c r="EEP1" s="383"/>
      <c r="EEQ1" s="383"/>
      <c r="EER1" s="383"/>
      <c r="EES1" s="383"/>
      <c r="EET1" s="383"/>
      <c r="EEU1" s="383"/>
      <c r="EEV1" s="383"/>
      <c r="EEW1" s="383"/>
      <c r="EEX1" s="383"/>
      <c r="EEY1" s="383"/>
      <c r="EEZ1" s="383"/>
      <c r="EFA1" s="383"/>
      <c r="EFB1" s="383"/>
      <c r="EFC1" s="383"/>
      <c r="EFD1" s="383"/>
      <c r="EFE1" s="383"/>
      <c r="EFF1" s="383"/>
      <c r="EFG1" s="383"/>
      <c r="EFH1" s="383"/>
      <c r="EFI1" s="383"/>
      <c r="EFJ1" s="383"/>
      <c r="EFK1" s="383"/>
      <c r="EFL1" s="383"/>
      <c r="EFM1" s="383"/>
      <c r="EFN1" s="383"/>
      <c r="EFO1" s="383"/>
      <c r="EFP1" s="383"/>
      <c r="EFQ1" s="383"/>
      <c r="EFR1" s="383"/>
      <c r="EFS1" s="383"/>
      <c r="EFT1" s="383"/>
      <c r="EFU1" s="383"/>
      <c r="EFV1" s="383"/>
      <c r="EFW1" s="383"/>
      <c r="EFX1" s="383"/>
      <c r="EFY1" s="383"/>
      <c r="EFZ1" s="383"/>
      <c r="EGA1" s="383"/>
      <c r="EGB1" s="383"/>
      <c r="EGC1" s="383"/>
      <c r="EGD1" s="383"/>
      <c r="EGE1" s="383"/>
      <c r="EGF1" s="383"/>
      <c r="EGG1" s="383"/>
      <c r="EGH1" s="383"/>
      <c r="EGI1" s="383"/>
      <c r="EGJ1" s="383"/>
      <c r="EGK1" s="383"/>
      <c r="EGL1" s="383"/>
      <c r="EGM1" s="383"/>
      <c r="EGN1" s="383"/>
      <c r="EGO1" s="383"/>
      <c r="EGP1" s="383"/>
      <c r="EGQ1" s="383"/>
      <c r="EGR1" s="383"/>
      <c r="EGS1" s="383"/>
      <c r="EGT1" s="383"/>
      <c r="EGU1" s="383"/>
      <c r="EGV1" s="383"/>
      <c r="EGW1" s="383"/>
      <c r="EGX1" s="383"/>
      <c r="EGY1" s="383"/>
      <c r="EGZ1" s="383"/>
      <c r="EHA1" s="383"/>
      <c r="EHB1" s="383"/>
      <c r="EHC1" s="383"/>
      <c r="EHD1" s="383"/>
      <c r="EHE1" s="383"/>
      <c r="EHF1" s="383"/>
      <c r="EHG1" s="383"/>
      <c r="EHH1" s="383"/>
      <c r="EHI1" s="383"/>
      <c r="EHJ1" s="383"/>
      <c r="EHK1" s="383"/>
      <c r="EHL1" s="383"/>
      <c r="EHM1" s="383"/>
      <c r="EHN1" s="383"/>
      <c r="EHO1" s="383"/>
      <c r="EHP1" s="383"/>
      <c r="EHQ1" s="383"/>
      <c r="EHR1" s="383"/>
      <c r="EHS1" s="383"/>
      <c r="EHT1" s="383"/>
      <c r="EHU1" s="383"/>
      <c r="EHV1" s="383"/>
      <c r="EHW1" s="383"/>
      <c r="EHX1" s="383"/>
      <c r="EHY1" s="383"/>
      <c r="EHZ1" s="383"/>
      <c r="EIA1" s="383"/>
      <c r="EIB1" s="383"/>
      <c r="EIC1" s="383"/>
      <c r="EID1" s="383"/>
      <c r="EIE1" s="383"/>
      <c r="EIF1" s="383"/>
      <c r="EIG1" s="383"/>
      <c r="EIH1" s="383"/>
      <c r="EII1" s="383"/>
      <c r="EIJ1" s="383"/>
      <c r="EIK1" s="383"/>
      <c r="EIL1" s="383"/>
      <c r="EIM1" s="383"/>
      <c r="EIN1" s="383"/>
      <c r="EIO1" s="383"/>
      <c r="EIP1" s="383"/>
      <c r="EIQ1" s="383"/>
      <c r="EIR1" s="383"/>
      <c r="EIS1" s="383"/>
      <c r="EIT1" s="383"/>
      <c r="EIU1" s="383"/>
      <c r="EIV1" s="383"/>
      <c r="EIW1" s="383"/>
      <c r="EIX1" s="383"/>
      <c r="EIY1" s="383"/>
      <c r="EIZ1" s="383"/>
      <c r="EJA1" s="383"/>
      <c r="EJB1" s="383"/>
      <c r="EJC1" s="383"/>
      <c r="EJD1" s="383"/>
      <c r="EJE1" s="383"/>
      <c r="EJF1" s="383"/>
      <c r="EJG1" s="383"/>
      <c r="EJH1" s="383"/>
      <c r="EJI1" s="383"/>
      <c r="EJJ1" s="383"/>
      <c r="EJK1" s="383"/>
      <c r="EJL1" s="383"/>
      <c r="EJM1" s="383"/>
      <c r="EJN1" s="383"/>
      <c r="EJO1" s="383"/>
      <c r="EJP1" s="383"/>
      <c r="EJQ1" s="383"/>
      <c r="EJR1" s="383"/>
      <c r="EJS1" s="383"/>
      <c r="EJT1" s="383"/>
      <c r="EJU1" s="383"/>
      <c r="EJV1" s="383"/>
      <c r="EJW1" s="383"/>
      <c r="EJX1" s="383"/>
      <c r="EJY1" s="383"/>
      <c r="EJZ1" s="383"/>
      <c r="EKA1" s="383"/>
      <c r="EKB1" s="383"/>
      <c r="EKC1" s="383"/>
      <c r="EKD1" s="383"/>
      <c r="EKE1" s="383"/>
      <c r="EKF1" s="383"/>
      <c r="EKG1" s="383"/>
      <c r="EKH1" s="383"/>
      <c r="EKI1" s="383"/>
      <c r="EKJ1" s="383"/>
      <c r="EKK1" s="383"/>
      <c r="EKL1" s="383"/>
      <c r="EKM1" s="383"/>
      <c r="EKN1" s="383"/>
      <c r="EKO1" s="383"/>
      <c r="EKP1" s="383"/>
      <c r="EKQ1" s="383"/>
      <c r="EKR1" s="383"/>
      <c r="EKS1" s="383"/>
      <c r="EKT1" s="383"/>
      <c r="EKU1" s="383"/>
      <c r="EKV1" s="383"/>
      <c r="EKW1" s="383"/>
      <c r="EKX1" s="383"/>
      <c r="EKY1" s="383"/>
      <c r="EKZ1" s="383"/>
      <c r="ELA1" s="383"/>
      <c r="ELB1" s="383"/>
      <c r="ELC1" s="383"/>
      <c r="ELD1" s="383"/>
      <c r="ELE1" s="383"/>
      <c r="ELF1" s="383"/>
      <c r="ELG1" s="383"/>
      <c r="ELH1" s="383"/>
      <c r="ELI1" s="383"/>
      <c r="ELJ1" s="383"/>
      <c r="ELK1" s="383"/>
      <c r="ELL1" s="383"/>
      <c r="ELM1" s="383"/>
      <c r="ELN1" s="383"/>
      <c r="ELO1" s="383"/>
      <c r="ELP1" s="383"/>
      <c r="ELQ1" s="383"/>
      <c r="ELR1" s="383"/>
      <c r="ELS1" s="383"/>
      <c r="ELT1" s="383"/>
      <c r="ELU1" s="383"/>
      <c r="ELV1" s="383"/>
      <c r="ELW1" s="383"/>
      <c r="ELX1" s="383"/>
      <c r="ELY1" s="383"/>
      <c r="ELZ1" s="383"/>
      <c r="EMA1" s="383"/>
      <c r="EMB1" s="383"/>
      <c r="EMC1" s="383"/>
      <c r="EMD1" s="383"/>
      <c r="EME1" s="383"/>
      <c r="EMF1" s="383"/>
      <c r="EMG1" s="383"/>
      <c r="EMH1" s="383"/>
      <c r="EMI1" s="383"/>
      <c r="EMJ1" s="383"/>
      <c r="EMK1" s="383"/>
      <c r="EML1" s="383"/>
      <c r="EMM1" s="383"/>
      <c r="EMN1" s="383"/>
      <c r="EMO1" s="383"/>
      <c r="EMP1" s="383"/>
      <c r="EMQ1" s="383"/>
      <c r="EMR1" s="383"/>
      <c r="EMS1" s="383"/>
      <c r="EMT1" s="383"/>
      <c r="EMU1" s="383"/>
      <c r="EMV1" s="383"/>
      <c r="EMW1" s="383"/>
      <c r="EMX1" s="383"/>
      <c r="EMY1" s="383"/>
      <c r="EMZ1" s="383"/>
      <c r="ENA1" s="383"/>
      <c r="ENB1" s="383"/>
      <c r="ENC1" s="383"/>
      <c r="END1" s="383"/>
      <c r="ENE1" s="383"/>
      <c r="ENF1" s="383"/>
      <c r="ENG1" s="383"/>
      <c r="ENH1" s="383"/>
      <c r="ENI1" s="383"/>
      <c r="ENJ1" s="383"/>
      <c r="ENK1" s="383"/>
      <c r="ENL1" s="383"/>
      <c r="ENM1" s="383"/>
      <c r="ENN1" s="383"/>
      <c r="ENO1" s="383"/>
      <c r="ENP1" s="383"/>
      <c r="ENQ1" s="383"/>
      <c r="ENR1" s="383"/>
      <c r="ENS1" s="383"/>
      <c r="ENT1" s="383"/>
      <c r="ENU1" s="383"/>
      <c r="ENV1" s="383"/>
      <c r="ENW1" s="383"/>
      <c r="ENX1" s="383"/>
      <c r="ENY1" s="383"/>
      <c r="ENZ1" s="383"/>
      <c r="EOA1" s="383"/>
      <c r="EOB1" s="383"/>
      <c r="EOC1" s="383"/>
      <c r="EOD1" s="383"/>
      <c r="EOE1" s="383"/>
      <c r="EOF1" s="383"/>
      <c r="EOG1" s="383"/>
      <c r="EOH1" s="383"/>
      <c r="EOI1" s="383"/>
      <c r="EOJ1" s="383"/>
      <c r="EOK1" s="383"/>
      <c r="EOL1" s="383"/>
      <c r="EOM1" s="383"/>
      <c r="EON1" s="383"/>
      <c r="EOO1" s="383"/>
      <c r="EOP1" s="383"/>
      <c r="EOQ1" s="383"/>
      <c r="EOR1" s="383"/>
      <c r="EOS1" s="383"/>
      <c r="EOT1" s="383"/>
      <c r="EOU1" s="383"/>
      <c r="EOV1" s="383"/>
      <c r="EOW1" s="383"/>
      <c r="EOX1" s="383"/>
      <c r="EOY1" s="383"/>
      <c r="EOZ1" s="383"/>
      <c r="EPA1" s="383"/>
      <c r="EPB1" s="383"/>
      <c r="EPC1" s="383"/>
      <c r="EPD1" s="383"/>
      <c r="EPE1" s="383"/>
      <c r="EPF1" s="383"/>
      <c r="EPG1" s="383"/>
      <c r="EPH1" s="383"/>
      <c r="EPI1" s="383"/>
      <c r="EPJ1" s="383"/>
      <c r="EPK1" s="383"/>
      <c r="EPL1" s="383"/>
      <c r="EPM1" s="383"/>
      <c r="EPN1" s="383"/>
      <c r="EPO1" s="383"/>
      <c r="EPP1" s="383"/>
      <c r="EPQ1" s="383"/>
      <c r="EPR1" s="383"/>
      <c r="EPS1" s="383"/>
      <c r="EPT1" s="383"/>
      <c r="EPU1" s="383"/>
      <c r="EPV1" s="383"/>
      <c r="EPW1" s="383"/>
      <c r="EPX1" s="383"/>
      <c r="EPY1" s="383"/>
      <c r="EPZ1" s="383"/>
      <c r="EQA1" s="383"/>
      <c r="EQB1" s="383"/>
      <c r="EQC1" s="383"/>
      <c r="EQD1" s="383"/>
      <c r="EQE1" s="383"/>
      <c r="EQF1" s="383"/>
      <c r="EQG1" s="383"/>
      <c r="EQH1" s="383"/>
      <c r="EQI1" s="383"/>
      <c r="EQJ1" s="383"/>
      <c r="EQK1" s="383"/>
      <c r="EQL1" s="383"/>
      <c r="EQM1" s="383"/>
      <c r="EQN1" s="383"/>
      <c r="EQO1" s="383"/>
      <c r="EQP1" s="383"/>
      <c r="EQQ1" s="383"/>
      <c r="EQR1" s="383"/>
      <c r="EQS1" s="383"/>
      <c r="EQT1" s="383"/>
      <c r="EQU1" s="383"/>
      <c r="EQV1" s="383"/>
      <c r="EQW1" s="383"/>
      <c r="EQX1" s="383"/>
      <c r="EQY1" s="383"/>
      <c r="EQZ1" s="383"/>
      <c r="ERA1" s="383"/>
      <c r="ERB1" s="383"/>
      <c r="ERC1" s="383"/>
      <c r="ERD1" s="383"/>
      <c r="ERE1" s="383"/>
      <c r="ERF1" s="383"/>
      <c r="ERG1" s="383"/>
      <c r="ERH1" s="383"/>
      <c r="ERI1" s="383"/>
      <c r="ERJ1" s="383"/>
      <c r="ERK1" s="383"/>
      <c r="ERL1" s="383"/>
      <c r="ERM1" s="383"/>
      <c r="ERN1" s="383"/>
      <c r="ERO1" s="383"/>
      <c r="ERP1" s="383"/>
      <c r="ERQ1" s="383"/>
      <c r="ERR1" s="383"/>
      <c r="ERS1" s="383"/>
      <c r="ERT1" s="383"/>
      <c r="ERU1" s="383"/>
      <c r="ERV1" s="383"/>
      <c r="ERW1" s="383"/>
      <c r="ERX1" s="383"/>
      <c r="ERY1" s="383"/>
      <c r="ERZ1" s="383"/>
      <c r="ESA1" s="383"/>
      <c r="ESB1" s="383"/>
      <c r="ESC1" s="383"/>
      <c r="ESD1" s="383"/>
      <c r="ESE1" s="383"/>
      <c r="ESF1" s="383"/>
      <c r="ESG1" s="383"/>
      <c r="ESH1" s="383"/>
      <c r="ESI1" s="383"/>
      <c r="ESJ1" s="383"/>
      <c r="ESK1" s="383"/>
      <c r="ESL1" s="383"/>
      <c r="ESM1" s="383"/>
      <c r="ESN1" s="383"/>
      <c r="ESO1" s="383"/>
      <c r="ESP1" s="383"/>
      <c r="ESQ1" s="383"/>
      <c r="ESR1" s="383"/>
      <c r="ESS1" s="383"/>
      <c r="EST1" s="383"/>
      <c r="ESU1" s="383"/>
      <c r="ESV1" s="383"/>
      <c r="ESW1" s="383"/>
      <c r="ESX1" s="383"/>
      <c r="ESY1" s="383"/>
      <c r="ESZ1" s="383"/>
      <c r="ETA1" s="383"/>
      <c r="ETB1" s="383"/>
      <c r="ETC1" s="383"/>
      <c r="ETD1" s="383"/>
      <c r="ETE1" s="383"/>
      <c r="ETF1" s="383"/>
      <c r="ETG1" s="383"/>
      <c r="ETH1" s="383"/>
      <c r="ETI1" s="383"/>
      <c r="ETJ1" s="383"/>
      <c r="ETK1" s="383"/>
      <c r="ETL1" s="383"/>
      <c r="ETM1" s="383"/>
      <c r="ETN1" s="383"/>
      <c r="ETO1" s="383"/>
      <c r="ETP1" s="383"/>
      <c r="ETQ1" s="383"/>
      <c r="ETR1" s="383"/>
      <c r="ETS1" s="383"/>
      <c r="ETT1" s="383"/>
      <c r="ETU1" s="383"/>
      <c r="ETV1" s="383"/>
      <c r="ETW1" s="383"/>
      <c r="ETX1" s="383"/>
      <c r="ETY1" s="383"/>
      <c r="ETZ1" s="383"/>
      <c r="EUA1" s="383"/>
      <c r="EUB1" s="383"/>
      <c r="EUC1" s="383"/>
      <c r="EUD1" s="383"/>
      <c r="EUE1" s="383"/>
      <c r="EUF1" s="383"/>
      <c r="EUG1" s="383"/>
      <c r="EUH1" s="383"/>
      <c r="EUI1" s="383"/>
      <c r="EUJ1" s="383"/>
      <c r="EUK1" s="383"/>
      <c r="EUL1" s="383"/>
      <c r="EUM1" s="383"/>
      <c r="EUN1" s="383"/>
      <c r="EUO1" s="383"/>
      <c r="EUP1" s="383"/>
      <c r="EUQ1" s="383"/>
      <c r="EUR1" s="383"/>
      <c r="EUS1" s="383"/>
      <c r="EUT1" s="383"/>
      <c r="EUU1" s="383"/>
      <c r="EUV1" s="383"/>
      <c r="EUW1" s="383"/>
      <c r="EUX1" s="383"/>
      <c r="EUY1" s="383"/>
      <c r="EUZ1" s="383"/>
      <c r="EVA1" s="383"/>
      <c r="EVB1" s="383"/>
      <c r="EVC1" s="383"/>
      <c r="EVD1" s="383"/>
      <c r="EVE1" s="383"/>
      <c r="EVF1" s="383"/>
      <c r="EVG1" s="383"/>
      <c r="EVH1" s="383"/>
      <c r="EVI1" s="383"/>
      <c r="EVJ1" s="383"/>
      <c r="EVK1" s="383"/>
      <c r="EVL1" s="383"/>
      <c r="EVM1" s="383"/>
      <c r="EVN1" s="383"/>
      <c r="EVO1" s="383"/>
      <c r="EVP1" s="383"/>
      <c r="EVQ1" s="383"/>
      <c r="EVR1" s="383"/>
      <c r="EVS1" s="383"/>
      <c r="EVT1" s="383"/>
      <c r="EVU1" s="383"/>
      <c r="EVV1" s="383"/>
      <c r="EVW1" s="383"/>
      <c r="EVX1" s="383"/>
      <c r="EVY1" s="383"/>
      <c r="EVZ1" s="383"/>
      <c r="EWA1" s="383"/>
      <c r="EWB1" s="383"/>
      <c r="EWC1" s="383"/>
      <c r="EWD1" s="383"/>
      <c r="EWE1" s="383"/>
      <c r="EWF1" s="383"/>
      <c r="EWG1" s="383"/>
      <c r="EWH1" s="383"/>
      <c r="EWI1" s="383"/>
      <c r="EWJ1" s="383"/>
      <c r="EWK1" s="383"/>
      <c r="EWL1" s="383"/>
      <c r="EWM1" s="383"/>
      <c r="EWN1" s="383"/>
      <c r="EWO1" s="383"/>
      <c r="EWP1" s="383"/>
      <c r="EWQ1" s="383"/>
      <c r="EWR1" s="383"/>
      <c r="EWS1" s="383"/>
      <c r="EWT1" s="383"/>
      <c r="EWU1" s="383"/>
      <c r="EWV1" s="383"/>
      <c r="EWW1" s="383"/>
      <c r="EWX1" s="383"/>
      <c r="EWY1" s="383"/>
      <c r="EWZ1" s="383"/>
      <c r="EXA1" s="383"/>
      <c r="EXB1" s="383"/>
      <c r="EXC1" s="383"/>
      <c r="EXD1" s="383"/>
      <c r="EXE1" s="383"/>
      <c r="EXF1" s="383"/>
      <c r="EXG1" s="383"/>
      <c r="EXH1" s="383"/>
      <c r="EXI1" s="383"/>
      <c r="EXJ1" s="383"/>
      <c r="EXK1" s="383"/>
      <c r="EXL1" s="383"/>
      <c r="EXM1" s="383"/>
      <c r="EXN1" s="383"/>
      <c r="EXO1" s="383"/>
      <c r="EXP1" s="383"/>
      <c r="EXQ1" s="383"/>
      <c r="EXR1" s="383"/>
      <c r="EXS1" s="383"/>
      <c r="EXT1" s="383"/>
      <c r="EXU1" s="383"/>
      <c r="EXV1" s="383"/>
      <c r="EXW1" s="383"/>
      <c r="EXX1" s="383"/>
      <c r="EXY1" s="383"/>
      <c r="EXZ1" s="383"/>
      <c r="EYA1" s="383"/>
      <c r="EYB1" s="383"/>
      <c r="EYC1" s="383"/>
      <c r="EYD1" s="383"/>
      <c r="EYE1" s="383"/>
      <c r="EYF1" s="383"/>
      <c r="EYG1" s="383"/>
      <c r="EYH1" s="383"/>
      <c r="EYI1" s="383"/>
      <c r="EYJ1" s="383"/>
      <c r="EYK1" s="383"/>
      <c r="EYL1" s="383"/>
      <c r="EYM1" s="383"/>
      <c r="EYN1" s="383"/>
      <c r="EYO1" s="383"/>
      <c r="EYP1" s="383"/>
      <c r="EYQ1" s="383"/>
      <c r="EYR1" s="383"/>
      <c r="EYS1" s="383"/>
      <c r="EYT1" s="383"/>
      <c r="EYU1" s="383"/>
      <c r="EYV1" s="383"/>
      <c r="EYW1" s="383"/>
      <c r="EYX1" s="383"/>
      <c r="EYY1" s="383"/>
      <c r="EYZ1" s="383"/>
      <c r="EZA1" s="383"/>
      <c r="EZB1" s="383"/>
      <c r="EZC1" s="383"/>
      <c r="EZD1" s="383"/>
      <c r="EZE1" s="383"/>
      <c r="EZF1" s="383"/>
      <c r="EZG1" s="383"/>
      <c r="EZH1" s="383"/>
      <c r="EZI1" s="383"/>
      <c r="EZJ1" s="383"/>
      <c r="EZK1" s="383"/>
      <c r="EZL1" s="383"/>
      <c r="EZM1" s="383"/>
      <c r="EZN1" s="383"/>
      <c r="EZO1" s="383"/>
      <c r="EZP1" s="383"/>
      <c r="EZQ1" s="383"/>
      <c r="EZR1" s="383"/>
      <c r="EZS1" s="383"/>
      <c r="EZT1" s="383"/>
      <c r="EZU1" s="383"/>
      <c r="EZV1" s="383"/>
      <c r="EZW1" s="383"/>
      <c r="EZX1" s="383"/>
      <c r="EZY1" s="383"/>
      <c r="EZZ1" s="383"/>
      <c r="FAA1" s="383"/>
      <c r="FAB1" s="383"/>
      <c r="FAC1" s="383"/>
      <c r="FAD1" s="383"/>
      <c r="FAE1" s="383"/>
      <c r="FAF1" s="383"/>
      <c r="FAG1" s="383"/>
      <c r="FAH1" s="383"/>
      <c r="FAI1" s="383"/>
      <c r="FAJ1" s="383"/>
      <c r="FAK1" s="383"/>
      <c r="FAL1" s="383"/>
      <c r="FAM1" s="383"/>
      <c r="FAN1" s="383"/>
      <c r="FAO1" s="383"/>
      <c r="FAP1" s="383"/>
      <c r="FAQ1" s="383"/>
      <c r="FAR1" s="383"/>
      <c r="FAS1" s="383"/>
      <c r="FAT1" s="383"/>
      <c r="FAU1" s="383"/>
      <c r="FAV1" s="383"/>
      <c r="FAW1" s="383"/>
      <c r="FAX1" s="383"/>
      <c r="FAY1" s="383"/>
      <c r="FAZ1" s="383"/>
      <c r="FBA1" s="383"/>
      <c r="FBB1" s="383"/>
      <c r="FBC1" s="383"/>
      <c r="FBD1" s="383"/>
      <c r="FBE1" s="383"/>
      <c r="FBF1" s="383"/>
      <c r="FBG1" s="383"/>
      <c r="FBH1" s="383"/>
      <c r="FBI1" s="383"/>
      <c r="FBJ1" s="383"/>
      <c r="FBK1" s="383"/>
      <c r="FBL1" s="383"/>
      <c r="FBM1" s="383"/>
      <c r="FBN1" s="383"/>
      <c r="FBO1" s="383"/>
      <c r="FBP1" s="383"/>
      <c r="FBQ1" s="383"/>
      <c r="FBR1" s="383"/>
      <c r="FBS1" s="383"/>
      <c r="FBT1" s="383"/>
      <c r="FBU1" s="383"/>
      <c r="FBV1" s="383"/>
      <c r="FBW1" s="383"/>
      <c r="FBX1" s="383"/>
      <c r="FBY1" s="383"/>
      <c r="FBZ1" s="383"/>
      <c r="FCA1" s="383"/>
      <c r="FCB1" s="383"/>
      <c r="FCC1" s="383"/>
      <c r="FCD1" s="383"/>
      <c r="FCE1" s="383"/>
      <c r="FCF1" s="383"/>
      <c r="FCG1" s="383"/>
      <c r="FCH1" s="383"/>
      <c r="FCI1" s="383"/>
      <c r="FCJ1" s="383"/>
      <c r="FCK1" s="383"/>
      <c r="FCL1" s="383"/>
      <c r="FCM1" s="383"/>
      <c r="FCN1" s="383"/>
      <c r="FCO1" s="383"/>
      <c r="FCP1" s="383"/>
      <c r="FCQ1" s="383"/>
      <c r="FCR1" s="383"/>
      <c r="FCS1" s="383"/>
      <c r="FCT1" s="383"/>
      <c r="FCU1" s="383"/>
      <c r="FCV1" s="383"/>
      <c r="FCW1" s="383"/>
      <c r="FCX1" s="383"/>
      <c r="FCY1" s="383"/>
      <c r="FCZ1" s="383"/>
      <c r="FDA1" s="383"/>
      <c r="FDB1" s="383"/>
      <c r="FDC1" s="383"/>
      <c r="FDD1" s="383"/>
      <c r="FDE1" s="383"/>
      <c r="FDF1" s="383"/>
      <c r="FDG1" s="383"/>
      <c r="FDH1" s="383"/>
      <c r="FDI1" s="383"/>
      <c r="FDJ1" s="383"/>
      <c r="FDK1" s="383"/>
      <c r="FDL1" s="383"/>
      <c r="FDM1" s="383"/>
      <c r="FDN1" s="383"/>
      <c r="FDO1" s="383"/>
      <c r="FDP1" s="383"/>
      <c r="FDQ1" s="383"/>
      <c r="FDR1" s="383"/>
      <c r="FDS1" s="383"/>
      <c r="FDT1" s="383"/>
      <c r="FDU1" s="383"/>
      <c r="FDV1" s="383"/>
      <c r="FDW1" s="383"/>
      <c r="FDX1" s="383"/>
      <c r="FDY1" s="383"/>
      <c r="FDZ1" s="383"/>
      <c r="FEA1" s="383"/>
      <c r="FEB1" s="383"/>
      <c r="FEC1" s="383"/>
      <c r="FED1" s="383"/>
      <c r="FEE1" s="383"/>
      <c r="FEF1" s="383"/>
      <c r="FEG1" s="383"/>
      <c r="FEH1" s="383"/>
      <c r="FEI1" s="383"/>
      <c r="FEJ1" s="383"/>
      <c r="FEK1" s="383"/>
      <c r="FEL1" s="383"/>
      <c r="FEM1" s="383"/>
      <c r="FEN1" s="383"/>
      <c r="FEO1" s="383"/>
      <c r="FEP1" s="383"/>
      <c r="FEQ1" s="383"/>
      <c r="FER1" s="383"/>
      <c r="FES1" s="383"/>
      <c r="FET1" s="383"/>
      <c r="FEU1" s="383"/>
      <c r="FEV1" s="383"/>
      <c r="FEW1" s="383"/>
      <c r="FEX1" s="383"/>
      <c r="FEY1" s="383"/>
      <c r="FEZ1" s="383"/>
      <c r="FFA1" s="383"/>
      <c r="FFB1" s="383"/>
      <c r="FFC1" s="383"/>
      <c r="FFD1" s="383"/>
      <c r="FFE1" s="383"/>
      <c r="FFF1" s="383"/>
      <c r="FFG1" s="383"/>
      <c r="FFH1" s="383"/>
      <c r="FFI1" s="383"/>
      <c r="FFJ1" s="383"/>
      <c r="FFK1" s="383"/>
      <c r="FFL1" s="383"/>
      <c r="FFM1" s="383"/>
      <c r="FFN1" s="383"/>
      <c r="FFO1" s="383"/>
      <c r="FFP1" s="383"/>
      <c r="FFQ1" s="383"/>
      <c r="FFR1" s="383"/>
      <c r="FFS1" s="383"/>
      <c r="FFT1" s="383"/>
      <c r="FFU1" s="383"/>
      <c r="FFV1" s="383"/>
      <c r="FFW1" s="383"/>
      <c r="FFX1" s="383"/>
      <c r="FFY1" s="383"/>
      <c r="FFZ1" s="383"/>
      <c r="FGA1" s="383"/>
      <c r="FGB1" s="383"/>
      <c r="FGC1" s="383"/>
      <c r="FGD1" s="383"/>
      <c r="FGE1" s="383"/>
      <c r="FGF1" s="383"/>
      <c r="FGG1" s="383"/>
      <c r="FGH1" s="383"/>
      <c r="FGI1" s="383"/>
      <c r="FGJ1" s="383"/>
      <c r="FGK1" s="383"/>
      <c r="FGL1" s="383"/>
      <c r="FGM1" s="383"/>
      <c r="FGN1" s="383"/>
      <c r="FGO1" s="383"/>
      <c r="FGP1" s="383"/>
      <c r="FGQ1" s="383"/>
      <c r="FGR1" s="383"/>
      <c r="FGS1" s="383"/>
      <c r="FGT1" s="383"/>
      <c r="FGU1" s="383"/>
      <c r="FGV1" s="383"/>
      <c r="FGW1" s="383"/>
      <c r="FGX1" s="383"/>
      <c r="FGY1" s="383"/>
      <c r="FGZ1" s="383"/>
      <c r="FHA1" s="383"/>
      <c r="FHB1" s="383"/>
      <c r="FHC1" s="383"/>
      <c r="FHD1" s="383"/>
      <c r="FHE1" s="383"/>
      <c r="FHF1" s="383"/>
      <c r="FHG1" s="383"/>
      <c r="FHH1" s="383"/>
      <c r="FHI1" s="383"/>
      <c r="FHJ1" s="383"/>
      <c r="FHK1" s="383"/>
      <c r="FHL1" s="383"/>
      <c r="FHM1" s="383"/>
      <c r="FHN1" s="383"/>
      <c r="FHO1" s="383"/>
      <c r="FHP1" s="383"/>
      <c r="FHQ1" s="383"/>
      <c r="FHR1" s="383"/>
      <c r="FHS1" s="383"/>
      <c r="FHT1" s="383"/>
      <c r="FHU1" s="383"/>
      <c r="FHV1" s="383"/>
      <c r="FHW1" s="383"/>
      <c r="FHX1" s="383"/>
      <c r="FHY1" s="383"/>
      <c r="FHZ1" s="383"/>
      <c r="FIA1" s="383"/>
      <c r="FIB1" s="383"/>
      <c r="FIC1" s="383"/>
      <c r="FID1" s="383"/>
      <c r="FIE1" s="383"/>
      <c r="FIF1" s="383"/>
      <c r="FIG1" s="383"/>
      <c r="FIH1" s="383"/>
      <c r="FII1" s="383"/>
      <c r="FIJ1" s="383"/>
      <c r="FIK1" s="383"/>
      <c r="FIL1" s="383"/>
      <c r="FIM1" s="383"/>
      <c r="FIN1" s="383"/>
      <c r="FIO1" s="383"/>
      <c r="FIP1" s="383"/>
      <c r="FIQ1" s="383"/>
      <c r="FIR1" s="383"/>
      <c r="FIS1" s="383"/>
      <c r="FIT1" s="383"/>
      <c r="FIU1" s="383"/>
      <c r="FIV1" s="383"/>
      <c r="FIW1" s="383"/>
      <c r="FIX1" s="383"/>
      <c r="FIY1" s="383"/>
      <c r="FIZ1" s="383"/>
      <c r="FJA1" s="383"/>
      <c r="FJB1" s="383"/>
      <c r="FJC1" s="383"/>
      <c r="FJD1" s="383"/>
      <c r="FJE1" s="383"/>
      <c r="FJF1" s="383"/>
      <c r="FJG1" s="383"/>
      <c r="FJH1" s="383"/>
      <c r="FJI1" s="383"/>
      <c r="FJJ1" s="383"/>
      <c r="FJK1" s="383"/>
      <c r="FJL1" s="383"/>
      <c r="FJM1" s="383"/>
      <c r="FJN1" s="383"/>
      <c r="FJO1" s="383"/>
      <c r="FJP1" s="383"/>
      <c r="FJQ1" s="383"/>
      <c r="FJR1" s="383"/>
      <c r="FJS1" s="383"/>
      <c r="FJT1" s="383"/>
      <c r="FJU1" s="383"/>
      <c r="FJV1" s="383"/>
      <c r="FJW1" s="383"/>
      <c r="FJX1" s="383"/>
      <c r="FJY1" s="383"/>
      <c r="FJZ1" s="383"/>
      <c r="FKA1" s="383"/>
      <c r="FKB1" s="383"/>
      <c r="FKC1" s="383"/>
      <c r="FKD1" s="383"/>
      <c r="FKE1" s="383"/>
      <c r="FKF1" s="383"/>
      <c r="FKG1" s="383"/>
      <c r="FKH1" s="383"/>
      <c r="FKI1" s="383"/>
      <c r="FKJ1" s="383"/>
      <c r="FKK1" s="383"/>
      <c r="FKL1" s="383"/>
      <c r="FKM1" s="383"/>
      <c r="FKN1" s="383"/>
      <c r="FKO1" s="383"/>
      <c r="FKP1" s="383"/>
      <c r="FKQ1" s="383"/>
      <c r="FKR1" s="383"/>
      <c r="FKS1" s="383"/>
      <c r="FKT1" s="383"/>
      <c r="FKU1" s="383"/>
      <c r="FKV1" s="383"/>
      <c r="FKW1" s="383"/>
      <c r="FKX1" s="383"/>
      <c r="FKY1" s="383"/>
      <c r="FKZ1" s="383"/>
      <c r="FLA1" s="383"/>
      <c r="FLB1" s="383"/>
      <c r="FLC1" s="383"/>
      <c r="FLD1" s="383"/>
      <c r="FLE1" s="383"/>
      <c r="FLF1" s="383"/>
      <c r="FLG1" s="383"/>
      <c r="FLH1" s="383"/>
      <c r="FLI1" s="383"/>
      <c r="FLJ1" s="383"/>
      <c r="FLK1" s="383"/>
      <c r="FLL1" s="383"/>
      <c r="FLM1" s="383"/>
      <c r="FLN1" s="383"/>
      <c r="FLO1" s="383"/>
      <c r="FLP1" s="383"/>
      <c r="FLQ1" s="383"/>
      <c r="FLR1" s="383"/>
      <c r="FLS1" s="383"/>
      <c r="FLT1" s="383"/>
      <c r="FLU1" s="383"/>
      <c r="FLV1" s="383"/>
      <c r="FLW1" s="383"/>
      <c r="FLX1" s="383"/>
      <c r="FLY1" s="383"/>
      <c r="FLZ1" s="383"/>
      <c r="FMA1" s="383"/>
      <c r="FMB1" s="383"/>
      <c r="FMC1" s="383"/>
      <c r="FMD1" s="383"/>
      <c r="FME1" s="383"/>
      <c r="FMF1" s="383"/>
      <c r="FMG1" s="383"/>
      <c r="FMH1" s="383"/>
      <c r="FMI1" s="383"/>
      <c r="FMJ1" s="383"/>
      <c r="FMK1" s="383"/>
      <c r="FML1" s="383"/>
      <c r="FMM1" s="383"/>
      <c r="FMN1" s="383"/>
      <c r="FMO1" s="383"/>
      <c r="FMP1" s="383"/>
      <c r="FMQ1" s="383"/>
      <c r="FMR1" s="383"/>
      <c r="FMS1" s="383"/>
      <c r="FMT1" s="383"/>
      <c r="FMU1" s="383"/>
      <c r="FMV1" s="383"/>
      <c r="FMW1" s="383"/>
      <c r="FMX1" s="383"/>
      <c r="FMY1" s="383"/>
      <c r="FMZ1" s="383"/>
      <c r="FNA1" s="383"/>
      <c r="FNB1" s="383"/>
      <c r="FNC1" s="383"/>
      <c r="FND1" s="383"/>
      <c r="FNE1" s="383"/>
      <c r="FNF1" s="383"/>
      <c r="FNG1" s="383"/>
      <c r="FNH1" s="383"/>
      <c r="FNI1" s="383"/>
      <c r="FNJ1" s="383"/>
      <c r="FNK1" s="383"/>
      <c r="FNL1" s="383"/>
      <c r="FNM1" s="383"/>
      <c r="FNN1" s="383"/>
      <c r="FNO1" s="383"/>
      <c r="FNP1" s="383"/>
      <c r="FNQ1" s="383"/>
      <c r="FNR1" s="383"/>
      <c r="FNS1" s="383"/>
      <c r="FNT1" s="383"/>
      <c r="FNU1" s="383"/>
      <c r="FNV1" s="383"/>
      <c r="FNW1" s="383"/>
      <c r="FNX1" s="383"/>
      <c r="FNY1" s="383"/>
      <c r="FNZ1" s="383"/>
      <c r="FOA1" s="383"/>
      <c r="FOB1" s="383"/>
      <c r="FOC1" s="383"/>
      <c r="FOD1" s="383"/>
      <c r="FOE1" s="383"/>
      <c r="FOF1" s="383"/>
      <c r="FOG1" s="383"/>
      <c r="FOH1" s="383"/>
      <c r="FOI1" s="383"/>
      <c r="FOJ1" s="383"/>
      <c r="FOK1" s="383"/>
      <c r="FOL1" s="383"/>
      <c r="FOM1" s="383"/>
      <c r="FON1" s="383"/>
      <c r="FOO1" s="383"/>
      <c r="FOP1" s="383"/>
      <c r="FOQ1" s="383"/>
      <c r="FOR1" s="383"/>
      <c r="FOS1" s="383"/>
      <c r="FOT1" s="383"/>
      <c r="FOU1" s="383"/>
      <c r="FOV1" s="383"/>
      <c r="FOW1" s="383"/>
      <c r="FOX1" s="383"/>
      <c r="FOY1" s="383"/>
      <c r="FOZ1" s="383"/>
      <c r="FPA1" s="383"/>
      <c r="FPB1" s="383"/>
      <c r="FPC1" s="383"/>
      <c r="FPD1" s="383"/>
      <c r="FPE1" s="383"/>
      <c r="FPF1" s="383"/>
      <c r="FPG1" s="383"/>
      <c r="FPH1" s="383"/>
      <c r="FPI1" s="383"/>
      <c r="FPJ1" s="383"/>
      <c r="FPK1" s="383"/>
      <c r="FPL1" s="383"/>
      <c r="FPM1" s="383"/>
      <c r="FPN1" s="383"/>
      <c r="FPO1" s="383"/>
      <c r="FPP1" s="383"/>
      <c r="FPQ1" s="383"/>
      <c r="FPR1" s="383"/>
      <c r="FPS1" s="383"/>
      <c r="FPT1" s="383"/>
      <c r="FPU1" s="383"/>
      <c r="FPV1" s="383"/>
      <c r="FPW1" s="383"/>
      <c r="FPX1" s="383"/>
      <c r="FPY1" s="383"/>
      <c r="FPZ1" s="383"/>
      <c r="FQA1" s="383"/>
      <c r="FQB1" s="383"/>
      <c r="FQC1" s="383"/>
      <c r="FQD1" s="383"/>
      <c r="FQE1" s="383"/>
      <c r="FQF1" s="383"/>
      <c r="FQG1" s="383"/>
      <c r="FQH1" s="383"/>
      <c r="FQI1" s="383"/>
      <c r="FQJ1" s="383"/>
      <c r="FQK1" s="383"/>
      <c r="FQL1" s="383"/>
      <c r="FQM1" s="383"/>
      <c r="FQN1" s="383"/>
      <c r="FQO1" s="383"/>
      <c r="FQP1" s="383"/>
      <c r="FQQ1" s="383"/>
      <c r="FQR1" s="383"/>
      <c r="FQS1" s="383"/>
      <c r="FQT1" s="383"/>
      <c r="FQU1" s="383"/>
      <c r="FQV1" s="383"/>
      <c r="FQW1" s="383"/>
      <c r="FQX1" s="383"/>
      <c r="FQY1" s="383"/>
      <c r="FQZ1" s="383"/>
      <c r="FRA1" s="383"/>
      <c r="FRB1" s="383"/>
      <c r="FRC1" s="383"/>
      <c r="FRD1" s="383"/>
      <c r="FRE1" s="383"/>
      <c r="FRF1" s="383"/>
      <c r="FRG1" s="383"/>
      <c r="FRH1" s="383"/>
      <c r="FRI1" s="383"/>
      <c r="FRJ1" s="383"/>
      <c r="FRK1" s="383"/>
      <c r="FRL1" s="383"/>
      <c r="FRM1" s="383"/>
      <c r="FRN1" s="383"/>
      <c r="FRO1" s="383"/>
      <c r="FRP1" s="383"/>
      <c r="FRQ1" s="383"/>
      <c r="FRR1" s="383"/>
      <c r="FRS1" s="383"/>
      <c r="FRT1" s="383"/>
      <c r="FRU1" s="383"/>
      <c r="FRV1" s="383"/>
      <c r="FRW1" s="383"/>
      <c r="FRX1" s="383"/>
      <c r="FRY1" s="383"/>
      <c r="FRZ1" s="383"/>
      <c r="FSA1" s="383"/>
      <c r="FSB1" s="383"/>
      <c r="FSC1" s="383"/>
      <c r="FSD1" s="383"/>
      <c r="FSE1" s="383"/>
      <c r="FSF1" s="383"/>
      <c r="FSG1" s="383"/>
      <c r="FSH1" s="383"/>
      <c r="FSI1" s="383"/>
      <c r="FSJ1" s="383"/>
      <c r="FSK1" s="383"/>
      <c r="FSL1" s="383"/>
      <c r="FSM1" s="383"/>
      <c r="FSN1" s="383"/>
      <c r="FSO1" s="383"/>
      <c r="FSP1" s="383"/>
      <c r="FSQ1" s="383"/>
      <c r="FSR1" s="383"/>
      <c r="FSS1" s="383"/>
      <c r="FST1" s="383"/>
      <c r="FSU1" s="383"/>
      <c r="FSV1" s="383"/>
      <c r="FSW1" s="383"/>
      <c r="FSX1" s="383"/>
      <c r="FSY1" s="383"/>
      <c r="FSZ1" s="383"/>
      <c r="FTA1" s="383"/>
      <c r="FTB1" s="383"/>
      <c r="FTC1" s="383"/>
      <c r="FTD1" s="383"/>
      <c r="FTE1" s="383"/>
      <c r="FTF1" s="383"/>
      <c r="FTG1" s="383"/>
      <c r="FTH1" s="383"/>
      <c r="FTI1" s="383"/>
      <c r="FTJ1" s="383"/>
      <c r="FTK1" s="383"/>
      <c r="FTL1" s="383"/>
      <c r="FTM1" s="383"/>
      <c r="FTN1" s="383"/>
      <c r="FTO1" s="383"/>
      <c r="FTP1" s="383"/>
      <c r="FTQ1" s="383"/>
      <c r="FTR1" s="383"/>
      <c r="FTS1" s="383"/>
      <c r="FTT1" s="383"/>
      <c r="FTU1" s="383"/>
      <c r="FTV1" s="383"/>
      <c r="FTW1" s="383"/>
      <c r="FTX1" s="383"/>
      <c r="FTY1" s="383"/>
      <c r="FTZ1" s="383"/>
      <c r="FUA1" s="383"/>
      <c r="FUB1" s="383"/>
      <c r="FUC1" s="383"/>
      <c r="FUD1" s="383"/>
      <c r="FUE1" s="383"/>
      <c r="FUF1" s="383"/>
      <c r="FUG1" s="383"/>
      <c r="FUH1" s="383"/>
      <c r="FUI1" s="383"/>
      <c r="FUJ1" s="383"/>
      <c r="FUK1" s="383"/>
      <c r="FUL1" s="383"/>
      <c r="FUM1" s="383"/>
      <c r="FUN1" s="383"/>
      <c r="FUO1" s="383"/>
      <c r="FUP1" s="383"/>
      <c r="FUQ1" s="383"/>
      <c r="FUR1" s="383"/>
      <c r="FUS1" s="383"/>
      <c r="FUT1" s="383"/>
      <c r="FUU1" s="383"/>
      <c r="FUV1" s="383"/>
      <c r="FUW1" s="383"/>
      <c r="FUX1" s="383"/>
      <c r="FUY1" s="383"/>
      <c r="FUZ1" s="383"/>
      <c r="FVA1" s="383"/>
      <c r="FVB1" s="383"/>
      <c r="FVC1" s="383"/>
      <c r="FVD1" s="383"/>
      <c r="FVE1" s="383"/>
      <c r="FVF1" s="383"/>
      <c r="FVG1" s="383"/>
      <c r="FVH1" s="383"/>
      <c r="FVI1" s="383"/>
      <c r="FVJ1" s="383"/>
      <c r="FVK1" s="383"/>
      <c r="FVL1" s="383"/>
      <c r="FVM1" s="383"/>
      <c r="FVN1" s="383"/>
      <c r="FVO1" s="383"/>
      <c r="FVP1" s="383"/>
      <c r="FVQ1" s="383"/>
      <c r="FVR1" s="383"/>
      <c r="FVS1" s="383"/>
      <c r="FVT1" s="383"/>
      <c r="FVU1" s="383"/>
      <c r="FVV1" s="383"/>
      <c r="FVW1" s="383"/>
      <c r="FVX1" s="383"/>
      <c r="FVY1" s="383"/>
      <c r="FVZ1" s="383"/>
      <c r="FWA1" s="383"/>
      <c r="FWB1" s="383"/>
      <c r="FWC1" s="383"/>
      <c r="FWD1" s="383"/>
      <c r="FWE1" s="383"/>
      <c r="FWF1" s="383"/>
      <c r="FWG1" s="383"/>
      <c r="FWH1" s="383"/>
      <c r="FWI1" s="383"/>
      <c r="FWJ1" s="383"/>
      <c r="FWK1" s="383"/>
      <c r="FWL1" s="383"/>
      <c r="FWM1" s="383"/>
      <c r="FWN1" s="383"/>
      <c r="FWO1" s="383"/>
      <c r="FWP1" s="383"/>
      <c r="FWQ1" s="383"/>
      <c r="FWR1" s="383"/>
      <c r="FWS1" s="383"/>
      <c r="FWT1" s="383"/>
      <c r="FWU1" s="383"/>
      <c r="FWV1" s="383"/>
      <c r="FWW1" s="383"/>
      <c r="FWX1" s="383"/>
      <c r="FWY1" s="383"/>
      <c r="FWZ1" s="383"/>
      <c r="FXA1" s="383"/>
      <c r="FXB1" s="383"/>
      <c r="FXC1" s="383"/>
      <c r="FXD1" s="383"/>
      <c r="FXE1" s="383"/>
      <c r="FXF1" s="383"/>
      <c r="FXG1" s="383"/>
      <c r="FXH1" s="383"/>
      <c r="FXI1" s="383"/>
      <c r="FXJ1" s="383"/>
      <c r="FXK1" s="383"/>
      <c r="FXL1" s="383"/>
      <c r="FXM1" s="383"/>
      <c r="FXN1" s="383"/>
      <c r="FXO1" s="383"/>
      <c r="FXP1" s="383"/>
      <c r="FXQ1" s="383"/>
      <c r="FXR1" s="383"/>
      <c r="FXS1" s="383"/>
      <c r="FXT1" s="383"/>
      <c r="FXU1" s="383"/>
      <c r="FXV1" s="383"/>
      <c r="FXW1" s="383"/>
      <c r="FXX1" s="383"/>
      <c r="FXY1" s="383"/>
      <c r="FXZ1" s="383"/>
      <c r="FYA1" s="383"/>
      <c r="FYB1" s="383"/>
      <c r="FYC1" s="383"/>
      <c r="FYD1" s="383"/>
      <c r="FYE1" s="383"/>
      <c r="FYF1" s="383"/>
      <c r="FYG1" s="383"/>
      <c r="FYH1" s="383"/>
      <c r="FYI1" s="383"/>
      <c r="FYJ1" s="383"/>
      <c r="FYK1" s="383"/>
      <c r="FYL1" s="383"/>
      <c r="FYM1" s="383"/>
      <c r="FYN1" s="383"/>
      <c r="FYO1" s="383"/>
      <c r="FYP1" s="383"/>
      <c r="FYQ1" s="383"/>
      <c r="FYR1" s="383"/>
      <c r="FYS1" s="383"/>
      <c r="FYT1" s="383"/>
      <c r="FYU1" s="383"/>
      <c r="FYV1" s="383"/>
      <c r="FYW1" s="383"/>
      <c r="FYX1" s="383"/>
      <c r="FYY1" s="383"/>
      <c r="FYZ1" s="383"/>
      <c r="FZA1" s="383"/>
      <c r="FZB1" s="383"/>
      <c r="FZC1" s="383"/>
      <c r="FZD1" s="383"/>
      <c r="FZE1" s="383"/>
      <c r="FZF1" s="383"/>
      <c r="FZG1" s="383"/>
      <c r="FZH1" s="383"/>
      <c r="FZI1" s="383"/>
      <c r="FZJ1" s="383"/>
      <c r="FZK1" s="383"/>
      <c r="FZL1" s="383"/>
      <c r="FZM1" s="383"/>
      <c r="FZN1" s="383"/>
      <c r="FZO1" s="383"/>
      <c r="FZP1" s="383"/>
      <c r="FZQ1" s="383"/>
      <c r="FZR1" s="383"/>
      <c r="FZS1" s="383"/>
      <c r="FZT1" s="383"/>
      <c r="FZU1" s="383"/>
      <c r="FZV1" s="383"/>
      <c r="FZW1" s="383"/>
      <c r="FZX1" s="383"/>
      <c r="FZY1" s="383"/>
      <c r="FZZ1" s="383"/>
      <c r="GAA1" s="383"/>
      <c r="GAB1" s="383"/>
      <c r="GAC1" s="383"/>
      <c r="GAD1" s="383"/>
      <c r="GAE1" s="383"/>
      <c r="GAF1" s="383"/>
      <c r="GAG1" s="383"/>
      <c r="GAH1" s="383"/>
      <c r="GAI1" s="383"/>
      <c r="GAJ1" s="383"/>
      <c r="GAK1" s="383"/>
      <c r="GAL1" s="383"/>
      <c r="GAM1" s="383"/>
      <c r="GAN1" s="383"/>
      <c r="GAO1" s="383"/>
      <c r="GAP1" s="383"/>
      <c r="GAQ1" s="383"/>
      <c r="GAR1" s="383"/>
      <c r="GAS1" s="383"/>
      <c r="GAT1" s="383"/>
      <c r="GAU1" s="383"/>
      <c r="GAV1" s="383"/>
      <c r="GAW1" s="383"/>
      <c r="GAX1" s="383"/>
      <c r="GAY1" s="383"/>
      <c r="GAZ1" s="383"/>
      <c r="GBA1" s="383"/>
      <c r="GBB1" s="383"/>
      <c r="GBC1" s="383"/>
      <c r="GBD1" s="383"/>
      <c r="GBE1" s="383"/>
      <c r="GBF1" s="383"/>
      <c r="GBG1" s="383"/>
      <c r="GBH1" s="383"/>
      <c r="GBI1" s="383"/>
      <c r="GBJ1" s="383"/>
      <c r="GBK1" s="383"/>
      <c r="GBL1" s="383"/>
      <c r="GBM1" s="383"/>
      <c r="GBN1" s="383"/>
      <c r="GBO1" s="383"/>
      <c r="GBP1" s="383"/>
      <c r="GBQ1" s="383"/>
      <c r="GBR1" s="383"/>
      <c r="GBS1" s="383"/>
      <c r="GBT1" s="383"/>
      <c r="GBU1" s="383"/>
      <c r="GBV1" s="383"/>
      <c r="GBW1" s="383"/>
      <c r="GBX1" s="383"/>
      <c r="GBY1" s="383"/>
      <c r="GBZ1" s="383"/>
      <c r="GCA1" s="383"/>
      <c r="GCB1" s="383"/>
      <c r="GCC1" s="383"/>
      <c r="GCD1" s="383"/>
      <c r="GCE1" s="383"/>
      <c r="GCF1" s="383"/>
      <c r="GCG1" s="383"/>
      <c r="GCH1" s="383"/>
      <c r="GCI1" s="383"/>
      <c r="GCJ1" s="383"/>
      <c r="GCK1" s="383"/>
      <c r="GCL1" s="383"/>
      <c r="GCM1" s="383"/>
      <c r="GCN1" s="383"/>
      <c r="GCO1" s="383"/>
      <c r="GCP1" s="383"/>
      <c r="GCQ1" s="383"/>
      <c r="GCR1" s="383"/>
      <c r="GCS1" s="383"/>
      <c r="GCT1" s="383"/>
      <c r="GCU1" s="383"/>
      <c r="GCV1" s="383"/>
      <c r="GCW1" s="383"/>
      <c r="GCX1" s="383"/>
      <c r="GCY1" s="383"/>
      <c r="GCZ1" s="383"/>
      <c r="GDA1" s="383"/>
      <c r="GDB1" s="383"/>
      <c r="GDC1" s="383"/>
      <c r="GDD1" s="383"/>
      <c r="GDE1" s="383"/>
      <c r="GDF1" s="383"/>
      <c r="GDG1" s="383"/>
      <c r="GDH1" s="383"/>
      <c r="GDI1" s="383"/>
      <c r="GDJ1" s="383"/>
      <c r="GDK1" s="383"/>
      <c r="GDL1" s="383"/>
      <c r="GDM1" s="383"/>
      <c r="GDN1" s="383"/>
      <c r="GDO1" s="383"/>
      <c r="GDP1" s="383"/>
      <c r="GDQ1" s="383"/>
      <c r="GDR1" s="383"/>
      <c r="GDS1" s="383"/>
      <c r="GDT1" s="383"/>
      <c r="GDU1" s="383"/>
      <c r="GDV1" s="383"/>
      <c r="GDW1" s="383"/>
      <c r="GDX1" s="383"/>
      <c r="GDY1" s="383"/>
      <c r="GDZ1" s="383"/>
      <c r="GEA1" s="383"/>
      <c r="GEB1" s="383"/>
      <c r="GEC1" s="383"/>
      <c r="GED1" s="383"/>
      <c r="GEE1" s="383"/>
      <c r="GEF1" s="383"/>
      <c r="GEG1" s="383"/>
      <c r="GEH1" s="383"/>
      <c r="GEI1" s="383"/>
      <c r="GEJ1" s="383"/>
      <c r="GEK1" s="383"/>
      <c r="GEL1" s="383"/>
      <c r="GEM1" s="383"/>
      <c r="GEN1" s="383"/>
      <c r="GEO1" s="383"/>
      <c r="GEP1" s="383"/>
      <c r="GEQ1" s="383"/>
      <c r="GER1" s="383"/>
      <c r="GES1" s="383"/>
      <c r="GET1" s="383"/>
      <c r="GEU1" s="383"/>
      <c r="GEV1" s="383"/>
      <c r="GEW1" s="383"/>
      <c r="GEX1" s="383"/>
      <c r="GEY1" s="383"/>
      <c r="GEZ1" s="383"/>
      <c r="GFA1" s="383"/>
      <c r="GFB1" s="383"/>
      <c r="GFC1" s="383"/>
      <c r="GFD1" s="383"/>
      <c r="GFE1" s="383"/>
      <c r="GFF1" s="383"/>
      <c r="GFG1" s="383"/>
      <c r="GFH1" s="383"/>
      <c r="GFI1" s="383"/>
      <c r="GFJ1" s="383"/>
      <c r="GFK1" s="383"/>
      <c r="GFL1" s="383"/>
      <c r="GFM1" s="383"/>
      <c r="GFN1" s="383"/>
      <c r="GFO1" s="383"/>
      <c r="GFP1" s="383"/>
      <c r="GFQ1" s="383"/>
      <c r="GFR1" s="383"/>
      <c r="GFS1" s="383"/>
      <c r="GFT1" s="383"/>
      <c r="GFU1" s="383"/>
      <c r="GFV1" s="383"/>
      <c r="GFW1" s="383"/>
      <c r="GFX1" s="383"/>
      <c r="GFY1" s="383"/>
      <c r="GFZ1" s="383"/>
      <c r="GGA1" s="383"/>
      <c r="GGB1" s="383"/>
      <c r="GGC1" s="383"/>
      <c r="GGD1" s="383"/>
      <c r="GGE1" s="383"/>
      <c r="GGF1" s="383"/>
      <c r="GGG1" s="383"/>
      <c r="GGH1" s="383"/>
      <c r="GGI1" s="383"/>
      <c r="GGJ1" s="383"/>
      <c r="GGK1" s="383"/>
      <c r="GGL1" s="383"/>
      <c r="GGM1" s="383"/>
      <c r="GGN1" s="383"/>
      <c r="GGO1" s="383"/>
      <c r="GGP1" s="383"/>
      <c r="GGQ1" s="383"/>
      <c r="GGR1" s="383"/>
      <c r="GGS1" s="383"/>
      <c r="GGT1" s="383"/>
      <c r="GGU1" s="383"/>
      <c r="GGV1" s="383"/>
      <c r="GGW1" s="383"/>
      <c r="GGX1" s="383"/>
      <c r="GGY1" s="383"/>
      <c r="GGZ1" s="383"/>
      <c r="GHA1" s="383"/>
      <c r="GHB1" s="383"/>
      <c r="GHC1" s="383"/>
      <c r="GHD1" s="383"/>
      <c r="GHE1" s="383"/>
      <c r="GHF1" s="383"/>
      <c r="GHG1" s="383"/>
      <c r="GHH1" s="383"/>
      <c r="GHI1" s="383"/>
      <c r="GHJ1" s="383"/>
      <c r="GHK1" s="383"/>
      <c r="GHL1" s="383"/>
      <c r="GHM1" s="383"/>
      <c r="GHN1" s="383"/>
      <c r="GHO1" s="383"/>
      <c r="GHP1" s="383"/>
      <c r="GHQ1" s="383"/>
      <c r="GHR1" s="383"/>
      <c r="GHS1" s="383"/>
      <c r="GHT1" s="383"/>
      <c r="GHU1" s="383"/>
      <c r="GHV1" s="383"/>
      <c r="GHW1" s="383"/>
      <c r="GHX1" s="383"/>
      <c r="GHY1" s="383"/>
      <c r="GHZ1" s="383"/>
      <c r="GIA1" s="383"/>
      <c r="GIB1" s="383"/>
      <c r="GIC1" s="383"/>
      <c r="GID1" s="383"/>
      <c r="GIE1" s="383"/>
      <c r="GIF1" s="383"/>
      <c r="GIG1" s="383"/>
      <c r="GIH1" s="383"/>
      <c r="GII1" s="383"/>
      <c r="GIJ1" s="383"/>
      <c r="GIK1" s="383"/>
      <c r="GIL1" s="383"/>
      <c r="GIM1" s="383"/>
      <c r="GIN1" s="383"/>
      <c r="GIO1" s="383"/>
      <c r="GIP1" s="383"/>
      <c r="GIQ1" s="383"/>
      <c r="GIR1" s="383"/>
      <c r="GIS1" s="383"/>
      <c r="GIT1" s="383"/>
      <c r="GIU1" s="383"/>
      <c r="GIV1" s="383"/>
      <c r="GIW1" s="383"/>
      <c r="GIX1" s="383"/>
      <c r="GIY1" s="383"/>
      <c r="GIZ1" s="383"/>
      <c r="GJA1" s="383"/>
      <c r="GJB1" s="383"/>
      <c r="GJC1" s="383"/>
      <c r="GJD1" s="383"/>
      <c r="GJE1" s="383"/>
      <c r="GJF1" s="383"/>
      <c r="GJG1" s="383"/>
      <c r="GJH1" s="383"/>
      <c r="GJI1" s="383"/>
      <c r="GJJ1" s="383"/>
      <c r="GJK1" s="383"/>
      <c r="GJL1" s="383"/>
      <c r="GJM1" s="383"/>
      <c r="GJN1" s="383"/>
      <c r="GJO1" s="383"/>
      <c r="GJP1" s="383"/>
      <c r="GJQ1" s="383"/>
      <c r="GJR1" s="383"/>
      <c r="GJS1" s="383"/>
      <c r="GJT1" s="383"/>
      <c r="GJU1" s="383"/>
      <c r="GJV1" s="383"/>
      <c r="GJW1" s="383"/>
      <c r="GJX1" s="383"/>
      <c r="GJY1" s="383"/>
      <c r="GJZ1" s="383"/>
      <c r="GKA1" s="383"/>
      <c r="GKB1" s="383"/>
      <c r="GKC1" s="383"/>
      <c r="GKD1" s="383"/>
      <c r="GKE1" s="383"/>
      <c r="GKF1" s="383"/>
      <c r="GKG1" s="383"/>
      <c r="GKH1" s="383"/>
      <c r="GKI1" s="383"/>
      <c r="GKJ1" s="383"/>
      <c r="GKK1" s="383"/>
      <c r="GKL1" s="383"/>
      <c r="GKM1" s="383"/>
      <c r="GKN1" s="383"/>
      <c r="GKO1" s="383"/>
      <c r="GKP1" s="383"/>
      <c r="GKQ1" s="383"/>
      <c r="GKR1" s="383"/>
      <c r="GKS1" s="383"/>
      <c r="GKT1" s="383"/>
      <c r="GKU1" s="383"/>
      <c r="GKV1" s="383"/>
      <c r="GKW1" s="383"/>
      <c r="GKX1" s="383"/>
      <c r="GKY1" s="383"/>
      <c r="GKZ1" s="383"/>
      <c r="GLA1" s="383"/>
      <c r="GLB1" s="383"/>
      <c r="GLC1" s="383"/>
      <c r="GLD1" s="383"/>
      <c r="GLE1" s="383"/>
      <c r="GLF1" s="383"/>
      <c r="GLG1" s="383"/>
      <c r="GLH1" s="383"/>
      <c r="GLI1" s="383"/>
      <c r="GLJ1" s="383"/>
      <c r="GLK1" s="383"/>
      <c r="GLL1" s="383"/>
      <c r="GLM1" s="383"/>
      <c r="GLN1" s="383"/>
      <c r="GLO1" s="383"/>
      <c r="GLP1" s="383"/>
      <c r="GLQ1" s="383"/>
      <c r="GLR1" s="383"/>
      <c r="GLS1" s="383"/>
      <c r="GLT1" s="383"/>
      <c r="GLU1" s="383"/>
      <c r="GLV1" s="383"/>
      <c r="GLW1" s="383"/>
      <c r="GLX1" s="383"/>
      <c r="GLY1" s="383"/>
      <c r="GLZ1" s="383"/>
      <c r="GMA1" s="383"/>
      <c r="GMB1" s="383"/>
      <c r="GMC1" s="383"/>
      <c r="GMD1" s="383"/>
      <c r="GME1" s="383"/>
      <c r="GMF1" s="383"/>
      <c r="GMG1" s="383"/>
      <c r="GMH1" s="383"/>
      <c r="GMI1" s="383"/>
      <c r="GMJ1" s="383"/>
      <c r="GMK1" s="383"/>
      <c r="GML1" s="383"/>
      <c r="GMM1" s="383"/>
      <c r="GMN1" s="383"/>
      <c r="GMO1" s="383"/>
      <c r="GMP1" s="383"/>
      <c r="GMQ1" s="383"/>
      <c r="GMR1" s="383"/>
      <c r="GMS1" s="383"/>
      <c r="GMT1" s="383"/>
      <c r="GMU1" s="383"/>
      <c r="GMV1" s="383"/>
      <c r="GMW1" s="383"/>
      <c r="GMX1" s="383"/>
      <c r="GMY1" s="383"/>
      <c r="GMZ1" s="383"/>
      <c r="GNA1" s="383"/>
      <c r="GNB1" s="383"/>
      <c r="GNC1" s="383"/>
      <c r="GND1" s="383"/>
      <c r="GNE1" s="383"/>
      <c r="GNF1" s="383"/>
      <c r="GNG1" s="383"/>
      <c r="GNH1" s="383"/>
      <c r="GNI1" s="383"/>
      <c r="GNJ1" s="383"/>
      <c r="GNK1" s="383"/>
      <c r="GNL1" s="383"/>
      <c r="GNM1" s="383"/>
      <c r="GNN1" s="383"/>
      <c r="GNO1" s="383"/>
      <c r="GNP1" s="383"/>
      <c r="GNQ1" s="383"/>
      <c r="GNR1" s="383"/>
      <c r="GNS1" s="383"/>
      <c r="GNT1" s="383"/>
      <c r="GNU1" s="383"/>
      <c r="GNV1" s="383"/>
      <c r="GNW1" s="383"/>
      <c r="GNX1" s="383"/>
      <c r="GNY1" s="383"/>
      <c r="GNZ1" s="383"/>
      <c r="GOA1" s="383"/>
      <c r="GOB1" s="383"/>
      <c r="GOC1" s="383"/>
      <c r="GOD1" s="383"/>
      <c r="GOE1" s="383"/>
      <c r="GOF1" s="383"/>
      <c r="GOG1" s="383"/>
      <c r="GOH1" s="383"/>
      <c r="GOI1" s="383"/>
      <c r="GOJ1" s="383"/>
      <c r="GOK1" s="383"/>
      <c r="GOL1" s="383"/>
      <c r="GOM1" s="383"/>
      <c r="GON1" s="383"/>
      <c r="GOO1" s="383"/>
      <c r="GOP1" s="383"/>
      <c r="GOQ1" s="383"/>
      <c r="GOR1" s="383"/>
      <c r="GOS1" s="383"/>
      <c r="GOT1" s="383"/>
      <c r="GOU1" s="383"/>
      <c r="GOV1" s="383"/>
      <c r="GOW1" s="383"/>
      <c r="GOX1" s="383"/>
      <c r="GOY1" s="383"/>
      <c r="GOZ1" s="383"/>
      <c r="GPA1" s="383"/>
      <c r="GPB1" s="383"/>
      <c r="GPC1" s="383"/>
      <c r="GPD1" s="383"/>
      <c r="GPE1" s="383"/>
      <c r="GPF1" s="383"/>
      <c r="GPG1" s="383"/>
      <c r="GPH1" s="383"/>
      <c r="GPI1" s="383"/>
      <c r="GPJ1" s="383"/>
      <c r="GPK1" s="383"/>
      <c r="GPL1" s="383"/>
      <c r="GPM1" s="383"/>
      <c r="GPN1" s="383"/>
      <c r="GPO1" s="383"/>
      <c r="GPP1" s="383"/>
      <c r="GPQ1" s="383"/>
      <c r="GPR1" s="383"/>
      <c r="GPS1" s="383"/>
      <c r="GPT1" s="383"/>
      <c r="GPU1" s="383"/>
      <c r="GPV1" s="383"/>
      <c r="GPW1" s="383"/>
      <c r="GPX1" s="383"/>
      <c r="GPY1" s="383"/>
      <c r="GPZ1" s="383"/>
      <c r="GQA1" s="383"/>
      <c r="GQB1" s="383"/>
      <c r="GQC1" s="383"/>
      <c r="GQD1" s="383"/>
      <c r="GQE1" s="383"/>
      <c r="GQF1" s="383"/>
      <c r="GQG1" s="383"/>
      <c r="GQH1" s="383"/>
      <c r="GQI1" s="383"/>
      <c r="GQJ1" s="383"/>
      <c r="GQK1" s="383"/>
      <c r="GQL1" s="383"/>
      <c r="GQM1" s="383"/>
      <c r="GQN1" s="383"/>
      <c r="GQO1" s="383"/>
      <c r="GQP1" s="383"/>
      <c r="GQQ1" s="383"/>
      <c r="GQR1" s="383"/>
      <c r="GQS1" s="383"/>
      <c r="GQT1" s="383"/>
      <c r="GQU1" s="383"/>
      <c r="GQV1" s="383"/>
      <c r="GQW1" s="383"/>
      <c r="GQX1" s="383"/>
      <c r="GQY1" s="383"/>
      <c r="GQZ1" s="383"/>
      <c r="GRA1" s="383"/>
      <c r="GRB1" s="383"/>
      <c r="GRC1" s="383"/>
      <c r="GRD1" s="383"/>
      <c r="GRE1" s="383"/>
      <c r="GRF1" s="383"/>
      <c r="GRG1" s="383"/>
      <c r="GRH1" s="383"/>
      <c r="GRI1" s="383"/>
      <c r="GRJ1" s="383"/>
      <c r="GRK1" s="383"/>
      <c r="GRL1" s="383"/>
      <c r="GRM1" s="383"/>
      <c r="GRN1" s="383"/>
      <c r="GRO1" s="383"/>
      <c r="GRP1" s="383"/>
      <c r="GRQ1" s="383"/>
      <c r="GRR1" s="383"/>
      <c r="GRS1" s="383"/>
      <c r="GRT1" s="383"/>
      <c r="GRU1" s="383"/>
      <c r="GRV1" s="383"/>
      <c r="GRW1" s="383"/>
      <c r="GRX1" s="383"/>
      <c r="GRY1" s="383"/>
      <c r="GRZ1" s="383"/>
      <c r="GSA1" s="383"/>
      <c r="GSB1" s="383"/>
      <c r="GSC1" s="383"/>
      <c r="GSD1" s="383"/>
      <c r="GSE1" s="383"/>
      <c r="GSF1" s="383"/>
      <c r="GSG1" s="383"/>
      <c r="GSH1" s="383"/>
      <c r="GSI1" s="383"/>
      <c r="GSJ1" s="383"/>
      <c r="GSK1" s="383"/>
      <c r="GSL1" s="383"/>
      <c r="GSM1" s="383"/>
      <c r="GSN1" s="383"/>
      <c r="GSO1" s="383"/>
      <c r="GSP1" s="383"/>
      <c r="GSQ1" s="383"/>
      <c r="GSR1" s="383"/>
      <c r="GSS1" s="383"/>
      <c r="GST1" s="383"/>
      <c r="GSU1" s="383"/>
      <c r="GSV1" s="383"/>
      <c r="GSW1" s="383"/>
      <c r="GSX1" s="383"/>
      <c r="GSY1" s="383"/>
      <c r="GSZ1" s="383"/>
      <c r="GTA1" s="383"/>
      <c r="GTB1" s="383"/>
      <c r="GTC1" s="383"/>
      <c r="GTD1" s="383"/>
      <c r="GTE1" s="383"/>
      <c r="GTF1" s="383"/>
      <c r="GTG1" s="383"/>
      <c r="GTH1" s="383"/>
      <c r="GTI1" s="383"/>
      <c r="GTJ1" s="383"/>
      <c r="GTK1" s="383"/>
      <c r="GTL1" s="383"/>
      <c r="GTM1" s="383"/>
      <c r="GTN1" s="383"/>
      <c r="GTO1" s="383"/>
      <c r="GTP1" s="383"/>
      <c r="GTQ1" s="383"/>
      <c r="GTR1" s="383"/>
      <c r="GTS1" s="383"/>
      <c r="GTT1" s="383"/>
      <c r="GTU1" s="383"/>
      <c r="GTV1" s="383"/>
      <c r="GTW1" s="383"/>
      <c r="GTX1" s="383"/>
      <c r="GTY1" s="383"/>
      <c r="GTZ1" s="383"/>
      <c r="GUA1" s="383"/>
      <c r="GUB1" s="383"/>
      <c r="GUC1" s="383"/>
      <c r="GUD1" s="383"/>
      <c r="GUE1" s="383"/>
      <c r="GUF1" s="383"/>
      <c r="GUG1" s="383"/>
      <c r="GUH1" s="383"/>
      <c r="GUI1" s="383"/>
      <c r="GUJ1" s="383"/>
      <c r="GUK1" s="383"/>
      <c r="GUL1" s="383"/>
      <c r="GUM1" s="383"/>
      <c r="GUN1" s="383"/>
      <c r="GUO1" s="383"/>
      <c r="GUP1" s="383"/>
      <c r="GUQ1" s="383"/>
      <c r="GUR1" s="383"/>
      <c r="GUS1" s="383"/>
      <c r="GUT1" s="383"/>
      <c r="GUU1" s="383"/>
      <c r="GUV1" s="383"/>
      <c r="GUW1" s="383"/>
      <c r="GUX1" s="383"/>
      <c r="GUY1" s="383"/>
      <c r="GUZ1" s="383"/>
      <c r="GVA1" s="383"/>
      <c r="GVB1" s="383"/>
      <c r="GVC1" s="383"/>
      <c r="GVD1" s="383"/>
      <c r="GVE1" s="383"/>
      <c r="GVF1" s="383"/>
      <c r="GVG1" s="383"/>
      <c r="GVH1" s="383"/>
      <c r="GVI1" s="383"/>
      <c r="GVJ1" s="383"/>
      <c r="GVK1" s="383"/>
      <c r="GVL1" s="383"/>
      <c r="GVM1" s="383"/>
      <c r="GVN1" s="383"/>
      <c r="GVO1" s="383"/>
      <c r="GVP1" s="383"/>
      <c r="GVQ1" s="383"/>
      <c r="GVR1" s="383"/>
      <c r="GVS1" s="383"/>
      <c r="GVT1" s="383"/>
      <c r="GVU1" s="383"/>
      <c r="GVV1" s="383"/>
      <c r="GVW1" s="383"/>
      <c r="GVX1" s="383"/>
      <c r="GVY1" s="383"/>
      <c r="GVZ1" s="383"/>
      <c r="GWA1" s="383"/>
      <c r="GWB1" s="383"/>
      <c r="GWC1" s="383"/>
      <c r="GWD1" s="383"/>
      <c r="GWE1" s="383"/>
      <c r="GWF1" s="383"/>
      <c r="GWG1" s="383"/>
      <c r="GWH1" s="383"/>
      <c r="GWI1" s="383"/>
      <c r="GWJ1" s="383"/>
      <c r="GWK1" s="383"/>
      <c r="GWL1" s="383"/>
      <c r="GWM1" s="383"/>
      <c r="GWN1" s="383"/>
      <c r="GWO1" s="383"/>
      <c r="GWP1" s="383"/>
      <c r="GWQ1" s="383"/>
      <c r="GWR1" s="383"/>
      <c r="GWS1" s="383"/>
      <c r="GWT1" s="383"/>
      <c r="GWU1" s="383"/>
      <c r="GWV1" s="383"/>
      <c r="GWW1" s="383"/>
      <c r="GWX1" s="383"/>
      <c r="GWY1" s="383"/>
      <c r="GWZ1" s="383"/>
      <c r="GXA1" s="383"/>
      <c r="GXB1" s="383"/>
      <c r="GXC1" s="383"/>
      <c r="GXD1" s="383"/>
      <c r="GXE1" s="383"/>
      <c r="GXF1" s="383"/>
      <c r="GXG1" s="383"/>
      <c r="GXH1" s="383"/>
      <c r="GXI1" s="383"/>
      <c r="GXJ1" s="383"/>
      <c r="GXK1" s="383"/>
      <c r="GXL1" s="383"/>
      <c r="GXM1" s="383"/>
      <c r="GXN1" s="383"/>
      <c r="GXO1" s="383"/>
      <c r="GXP1" s="383"/>
      <c r="GXQ1" s="383"/>
      <c r="GXR1" s="383"/>
      <c r="GXS1" s="383"/>
      <c r="GXT1" s="383"/>
      <c r="GXU1" s="383"/>
      <c r="GXV1" s="383"/>
      <c r="GXW1" s="383"/>
      <c r="GXX1" s="383"/>
      <c r="GXY1" s="383"/>
      <c r="GXZ1" s="383"/>
      <c r="GYA1" s="383"/>
      <c r="GYB1" s="383"/>
      <c r="GYC1" s="383"/>
      <c r="GYD1" s="383"/>
      <c r="GYE1" s="383"/>
      <c r="GYF1" s="383"/>
      <c r="GYG1" s="383"/>
      <c r="GYH1" s="383"/>
      <c r="GYI1" s="383"/>
      <c r="GYJ1" s="383"/>
      <c r="GYK1" s="383"/>
      <c r="GYL1" s="383"/>
      <c r="GYM1" s="383"/>
      <c r="GYN1" s="383"/>
      <c r="GYO1" s="383"/>
      <c r="GYP1" s="383"/>
      <c r="GYQ1" s="383"/>
      <c r="GYR1" s="383"/>
      <c r="GYS1" s="383"/>
      <c r="GYT1" s="383"/>
      <c r="GYU1" s="383"/>
      <c r="GYV1" s="383"/>
      <c r="GYW1" s="383"/>
      <c r="GYX1" s="383"/>
      <c r="GYY1" s="383"/>
      <c r="GYZ1" s="383"/>
      <c r="GZA1" s="383"/>
      <c r="GZB1" s="383"/>
      <c r="GZC1" s="383"/>
      <c r="GZD1" s="383"/>
      <c r="GZE1" s="383"/>
      <c r="GZF1" s="383"/>
      <c r="GZG1" s="383"/>
      <c r="GZH1" s="383"/>
      <c r="GZI1" s="383"/>
      <c r="GZJ1" s="383"/>
      <c r="GZK1" s="383"/>
      <c r="GZL1" s="383"/>
      <c r="GZM1" s="383"/>
      <c r="GZN1" s="383"/>
      <c r="GZO1" s="383"/>
      <c r="GZP1" s="383"/>
      <c r="GZQ1" s="383"/>
      <c r="GZR1" s="383"/>
      <c r="GZS1" s="383"/>
      <c r="GZT1" s="383"/>
      <c r="GZU1" s="383"/>
      <c r="GZV1" s="383"/>
      <c r="GZW1" s="383"/>
      <c r="GZX1" s="383"/>
      <c r="GZY1" s="383"/>
      <c r="GZZ1" s="383"/>
      <c r="HAA1" s="383"/>
      <c r="HAB1" s="383"/>
      <c r="HAC1" s="383"/>
      <c r="HAD1" s="383"/>
      <c r="HAE1" s="383"/>
      <c r="HAF1" s="383"/>
      <c r="HAG1" s="383"/>
      <c r="HAH1" s="383"/>
      <c r="HAI1" s="383"/>
      <c r="HAJ1" s="383"/>
      <c r="HAK1" s="383"/>
      <c r="HAL1" s="383"/>
      <c r="HAM1" s="383"/>
      <c r="HAN1" s="383"/>
      <c r="HAO1" s="383"/>
      <c r="HAP1" s="383"/>
      <c r="HAQ1" s="383"/>
      <c r="HAR1" s="383"/>
      <c r="HAS1" s="383"/>
      <c r="HAT1" s="383"/>
      <c r="HAU1" s="383"/>
      <c r="HAV1" s="383"/>
      <c r="HAW1" s="383"/>
      <c r="HAX1" s="383"/>
      <c r="HAY1" s="383"/>
      <c r="HAZ1" s="383"/>
      <c r="HBA1" s="383"/>
      <c r="HBB1" s="383"/>
      <c r="HBC1" s="383"/>
      <c r="HBD1" s="383"/>
      <c r="HBE1" s="383"/>
      <c r="HBF1" s="383"/>
      <c r="HBG1" s="383"/>
      <c r="HBH1" s="383"/>
      <c r="HBI1" s="383"/>
      <c r="HBJ1" s="383"/>
      <c r="HBK1" s="383"/>
      <c r="HBL1" s="383"/>
      <c r="HBM1" s="383"/>
      <c r="HBN1" s="383"/>
      <c r="HBO1" s="383"/>
      <c r="HBP1" s="383"/>
      <c r="HBQ1" s="383"/>
      <c r="HBR1" s="383"/>
      <c r="HBS1" s="383"/>
      <c r="HBT1" s="383"/>
      <c r="HBU1" s="383"/>
      <c r="HBV1" s="383"/>
      <c r="HBW1" s="383"/>
      <c r="HBX1" s="383"/>
      <c r="HBY1" s="383"/>
      <c r="HBZ1" s="383"/>
      <c r="HCA1" s="383"/>
      <c r="HCB1" s="383"/>
      <c r="HCC1" s="383"/>
      <c r="HCD1" s="383"/>
      <c r="HCE1" s="383"/>
      <c r="HCF1" s="383"/>
      <c r="HCG1" s="383"/>
      <c r="HCH1" s="383"/>
      <c r="HCI1" s="383"/>
      <c r="HCJ1" s="383"/>
      <c r="HCK1" s="383"/>
      <c r="HCL1" s="383"/>
      <c r="HCM1" s="383"/>
      <c r="HCN1" s="383"/>
      <c r="HCO1" s="383"/>
      <c r="HCP1" s="383"/>
      <c r="HCQ1" s="383"/>
      <c r="HCR1" s="383"/>
      <c r="HCS1" s="383"/>
      <c r="HCT1" s="383"/>
      <c r="HCU1" s="383"/>
      <c r="HCV1" s="383"/>
      <c r="HCW1" s="383"/>
      <c r="HCX1" s="383"/>
      <c r="HCY1" s="383"/>
      <c r="HCZ1" s="383"/>
      <c r="HDA1" s="383"/>
      <c r="HDB1" s="383"/>
      <c r="HDC1" s="383"/>
      <c r="HDD1" s="383"/>
      <c r="HDE1" s="383"/>
      <c r="HDF1" s="383"/>
      <c r="HDG1" s="383"/>
      <c r="HDH1" s="383"/>
      <c r="HDI1" s="383"/>
      <c r="HDJ1" s="383"/>
      <c r="HDK1" s="383"/>
      <c r="HDL1" s="383"/>
      <c r="HDM1" s="383"/>
      <c r="HDN1" s="383"/>
      <c r="HDO1" s="383"/>
      <c r="HDP1" s="383"/>
      <c r="HDQ1" s="383"/>
      <c r="HDR1" s="383"/>
      <c r="HDS1" s="383"/>
      <c r="HDT1" s="383"/>
      <c r="HDU1" s="383"/>
      <c r="HDV1" s="383"/>
      <c r="HDW1" s="383"/>
      <c r="HDX1" s="383"/>
      <c r="HDY1" s="383"/>
      <c r="HDZ1" s="383"/>
      <c r="HEA1" s="383"/>
      <c r="HEB1" s="383"/>
      <c r="HEC1" s="383"/>
      <c r="HED1" s="383"/>
      <c r="HEE1" s="383"/>
      <c r="HEF1" s="383"/>
      <c r="HEG1" s="383"/>
      <c r="HEH1" s="383"/>
      <c r="HEI1" s="383"/>
      <c r="HEJ1" s="383"/>
      <c r="HEK1" s="383"/>
      <c r="HEL1" s="383"/>
      <c r="HEM1" s="383"/>
      <c r="HEN1" s="383"/>
      <c r="HEO1" s="383"/>
      <c r="HEP1" s="383"/>
      <c r="HEQ1" s="383"/>
      <c r="HER1" s="383"/>
      <c r="HES1" s="383"/>
      <c r="HET1" s="383"/>
      <c r="HEU1" s="383"/>
      <c r="HEV1" s="383"/>
      <c r="HEW1" s="383"/>
      <c r="HEX1" s="383"/>
      <c r="HEY1" s="383"/>
      <c r="HEZ1" s="383"/>
      <c r="HFA1" s="383"/>
      <c r="HFB1" s="383"/>
      <c r="HFC1" s="383"/>
      <c r="HFD1" s="383"/>
      <c r="HFE1" s="383"/>
      <c r="HFF1" s="383"/>
      <c r="HFG1" s="383"/>
      <c r="HFH1" s="383"/>
      <c r="HFI1" s="383"/>
      <c r="HFJ1" s="383"/>
      <c r="HFK1" s="383"/>
      <c r="HFL1" s="383"/>
      <c r="HFM1" s="383"/>
      <c r="HFN1" s="383"/>
      <c r="HFO1" s="383"/>
      <c r="HFP1" s="383"/>
      <c r="HFQ1" s="383"/>
      <c r="HFR1" s="383"/>
      <c r="HFS1" s="383"/>
      <c r="HFT1" s="383"/>
      <c r="HFU1" s="383"/>
      <c r="HFV1" s="383"/>
      <c r="HFW1" s="383"/>
      <c r="HFX1" s="383"/>
      <c r="HFY1" s="383"/>
      <c r="HFZ1" s="383"/>
      <c r="HGA1" s="383"/>
      <c r="HGB1" s="383"/>
      <c r="HGC1" s="383"/>
      <c r="HGD1" s="383"/>
      <c r="HGE1" s="383"/>
      <c r="HGF1" s="383"/>
      <c r="HGG1" s="383"/>
      <c r="HGH1" s="383"/>
      <c r="HGI1" s="383"/>
      <c r="HGJ1" s="383"/>
      <c r="HGK1" s="383"/>
      <c r="HGL1" s="383"/>
      <c r="HGM1" s="383"/>
      <c r="HGN1" s="383"/>
      <c r="HGO1" s="383"/>
      <c r="HGP1" s="383"/>
      <c r="HGQ1" s="383"/>
      <c r="HGR1" s="383"/>
      <c r="HGS1" s="383"/>
      <c r="HGT1" s="383"/>
      <c r="HGU1" s="383"/>
      <c r="HGV1" s="383"/>
      <c r="HGW1" s="383"/>
      <c r="HGX1" s="383"/>
      <c r="HGY1" s="383"/>
      <c r="HGZ1" s="383"/>
      <c r="HHA1" s="383"/>
      <c r="HHB1" s="383"/>
      <c r="HHC1" s="383"/>
      <c r="HHD1" s="383"/>
      <c r="HHE1" s="383"/>
      <c r="HHF1" s="383"/>
      <c r="HHG1" s="383"/>
      <c r="HHH1" s="383"/>
      <c r="HHI1" s="383"/>
      <c r="HHJ1" s="383"/>
      <c r="HHK1" s="383"/>
      <c r="HHL1" s="383"/>
      <c r="HHM1" s="383"/>
      <c r="HHN1" s="383"/>
      <c r="HHO1" s="383"/>
      <c r="HHP1" s="383"/>
      <c r="HHQ1" s="383"/>
      <c r="HHR1" s="383"/>
      <c r="HHS1" s="383"/>
      <c r="HHT1" s="383"/>
      <c r="HHU1" s="383"/>
      <c r="HHV1" s="383"/>
      <c r="HHW1" s="383"/>
      <c r="HHX1" s="383"/>
      <c r="HHY1" s="383"/>
      <c r="HHZ1" s="383"/>
      <c r="HIA1" s="383"/>
      <c r="HIB1" s="383"/>
      <c r="HIC1" s="383"/>
      <c r="HID1" s="383"/>
      <c r="HIE1" s="383"/>
      <c r="HIF1" s="383"/>
      <c r="HIG1" s="383"/>
      <c r="HIH1" s="383"/>
      <c r="HII1" s="383"/>
      <c r="HIJ1" s="383"/>
      <c r="HIK1" s="383"/>
      <c r="HIL1" s="383"/>
      <c r="HIM1" s="383"/>
      <c r="HIN1" s="383"/>
      <c r="HIO1" s="383"/>
      <c r="HIP1" s="383"/>
      <c r="HIQ1" s="383"/>
      <c r="HIR1" s="383"/>
      <c r="HIS1" s="383"/>
      <c r="HIT1" s="383"/>
      <c r="HIU1" s="383"/>
      <c r="HIV1" s="383"/>
      <c r="HIW1" s="383"/>
      <c r="HIX1" s="383"/>
      <c r="HIY1" s="383"/>
      <c r="HIZ1" s="383"/>
      <c r="HJA1" s="383"/>
      <c r="HJB1" s="383"/>
      <c r="HJC1" s="383"/>
      <c r="HJD1" s="383"/>
      <c r="HJE1" s="383"/>
      <c r="HJF1" s="383"/>
      <c r="HJG1" s="383"/>
      <c r="HJH1" s="383"/>
      <c r="HJI1" s="383"/>
      <c r="HJJ1" s="383"/>
      <c r="HJK1" s="383"/>
      <c r="HJL1" s="383"/>
      <c r="HJM1" s="383"/>
      <c r="HJN1" s="383"/>
      <c r="HJO1" s="383"/>
      <c r="HJP1" s="383"/>
      <c r="HJQ1" s="383"/>
      <c r="HJR1" s="383"/>
      <c r="HJS1" s="383"/>
      <c r="HJT1" s="383"/>
      <c r="HJU1" s="383"/>
      <c r="HJV1" s="383"/>
      <c r="HJW1" s="383"/>
      <c r="HJX1" s="383"/>
      <c r="HJY1" s="383"/>
      <c r="HJZ1" s="383"/>
      <c r="HKA1" s="383"/>
      <c r="HKB1" s="383"/>
      <c r="HKC1" s="383"/>
      <c r="HKD1" s="383"/>
      <c r="HKE1" s="383"/>
      <c r="HKF1" s="383"/>
      <c r="HKG1" s="383"/>
      <c r="HKH1" s="383"/>
      <c r="HKI1" s="383"/>
      <c r="HKJ1" s="383"/>
      <c r="HKK1" s="383"/>
      <c r="HKL1" s="383"/>
      <c r="HKM1" s="383"/>
      <c r="HKN1" s="383"/>
      <c r="HKO1" s="383"/>
      <c r="HKP1" s="383"/>
      <c r="HKQ1" s="383"/>
      <c r="HKR1" s="383"/>
      <c r="HKS1" s="383"/>
      <c r="HKT1" s="383"/>
      <c r="HKU1" s="383"/>
      <c r="HKV1" s="383"/>
      <c r="HKW1" s="383"/>
      <c r="HKX1" s="383"/>
      <c r="HKY1" s="383"/>
      <c r="HKZ1" s="383"/>
      <c r="HLA1" s="383"/>
      <c r="HLB1" s="383"/>
      <c r="HLC1" s="383"/>
      <c r="HLD1" s="383"/>
      <c r="HLE1" s="383"/>
      <c r="HLF1" s="383"/>
      <c r="HLG1" s="383"/>
      <c r="HLH1" s="383"/>
      <c r="HLI1" s="383"/>
      <c r="HLJ1" s="383"/>
      <c r="HLK1" s="383"/>
      <c r="HLL1" s="383"/>
      <c r="HLM1" s="383"/>
      <c r="HLN1" s="383"/>
      <c r="HLO1" s="383"/>
      <c r="HLP1" s="383"/>
      <c r="HLQ1" s="383"/>
      <c r="HLR1" s="383"/>
      <c r="HLS1" s="383"/>
      <c r="HLT1" s="383"/>
      <c r="HLU1" s="383"/>
      <c r="HLV1" s="383"/>
      <c r="HLW1" s="383"/>
      <c r="HLX1" s="383"/>
      <c r="HLY1" s="383"/>
      <c r="HLZ1" s="383"/>
      <c r="HMA1" s="383"/>
      <c r="HMB1" s="383"/>
      <c r="HMC1" s="383"/>
      <c r="HMD1" s="383"/>
      <c r="HME1" s="383"/>
      <c r="HMF1" s="383"/>
      <c r="HMG1" s="383"/>
      <c r="HMH1" s="383"/>
      <c r="HMI1" s="383"/>
      <c r="HMJ1" s="383"/>
      <c r="HMK1" s="383"/>
      <c r="HML1" s="383"/>
      <c r="HMM1" s="383"/>
      <c r="HMN1" s="383"/>
      <c r="HMO1" s="383"/>
      <c r="HMP1" s="383"/>
      <c r="HMQ1" s="383"/>
      <c r="HMR1" s="383"/>
      <c r="HMS1" s="383"/>
      <c r="HMT1" s="383"/>
      <c r="HMU1" s="383"/>
      <c r="HMV1" s="383"/>
      <c r="HMW1" s="383"/>
      <c r="HMX1" s="383"/>
      <c r="HMY1" s="383"/>
      <c r="HMZ1" s="383"/>
      <c r="HNA1" s="383"/>
      <c r="HNB1" s="383"/>
      <c r="HNC1" s="383"/>
      <c r="HND1" s="383"/>
      <c r="HNE1" s="383"/>
      <c r="HNF1" s="383"/>
      <c r="HNG1" s="383"/>
      <c r="HNH1" s="383"/>
      <c r="HNI1" s="383"/>
      <c r="HNJ1" s="383"/>
      <c r="HNK1" s="383"/>
      <c r="HNL1" s="383"/>
      <c r="HNM1" s="383"/>
      <c r="HNN1" s="383"/>
      <c r="HNO1" s="383"/>
      <c r="HNP1" s="383"/>
      <c r="HNQ1" s="383"/>
      <c r="HNR1" s="383"/>
      <c r="HNS1" s="383"/>
      <c r="HNT1" s="383"/>
      <c r="HNU1" s="383"/>
      <c r="HNV1" s="383"/>
      <c r="HNW1" s="383"/>
      <c r="HNX1" s="383"/>
      <c r="HNY1" s="383"/>
      <c r="HNZ1" s="383"/>
      <c r="HOA1" s="383"/>
      <c r="HOB1" s="383"/>
      <c r="HOC1" s="383"/>
      <c r="HOD1" s="383"/>
      <c r="HOE1" s="383"/>
      <c r="HOF1" s="383"/>
      <c r="HOG1" s="383"/>
      <c r="HOH1" s="383"/>
      <c r="HOI1" s="383"/>
      <c r="HOJ1" s="383"/>
      <c r="HOK1" s="383"/>
      <c r="HOL1" s="383"/>
      <c r="HOM1" s="383"/>
      <c r="HON1" s="383"/>
      <c r="HOO1" s="383"/>
      <c r="HOP1" s="383"/>
      <c r="HOQ1" s="383"/>
      <c r="HOR1" s="383"/>
      <c r="HOS1" s="383"/>
      <c r="HOT1" s="383"/>
      <c r="HOU1" s="383"/>
      <c r="HOV1" s="383"/>
      <c r="HOW1" s="383"/>
      <c r="HOX1" s="383"/>
      <c r="HOY1" s="383"/>
      <c r="HOZ1" s="383"/>
      <c r="HPA1" s="383"/>
      <c r="HPB1" s="383"/>
      <c r="HPC1" s="383"/>
      <c r="HPD1" s="383"/>
      <c r="HPE1" s="383"/>
      <c r="HPF1" s="383"/>
      <c r="HPG1" s="383"/>
      <c r="HPH1" s="383"/>
      <c r="HPI1" s="383"/>
      <c r="HPJ1" s="383"/>
      <c r="HPK1" s="383"/>
      <c r="HPL1" s="383"/>
      <c r="HPM1" s="383"/>
      <c r="HPN1" s="383"/>
      <c r="HPO1" s="383"/>
      <c r="HPP1" s="383"/>
      <c r="HPQ1" s="383"/>
      <c r="HPR1" s="383"/>
      <c r="HPS1" s="383"/>
      <c r="HPT1" s="383"/>
      <c r="HPU1" s="383"/>
      <c r="HPV1" s="383"/>
      <c r="HPW1" s="383"/>
      <c r="HPX1" s="383"/>
      <c r="HPY1" s="383"/>
      <c r="HPZ1" s="383"/>
      <c r="HQA1" s="383"/>
      <c r="HQB1" s="383"/>
      <c r="HQC1" s="383"/>
      <c r="HQD1" s="383"/>
      <c r="HQE1" s="383"/>
      <c r="HQF1" s="383"/>
      <c r="HQG1" s="383"/>
      <c r="HQH1" s="383"/>
      <c r="HQI1" s="383"/>
      <c r="HQJ1" s="383"/>
      <c r="HQK1" s="383"/>
      <c r="HQL1" s="383"/>
      <c r="HQM1" s="383"/>
      <c r="HQN1" s="383"/>
      <c r="HQO1" s="383"/>
      <c r="HQP1" s="383"/>
      <c r="HQQ1" s="383"/>
      <c r="HQR1" s="383"/>
      <c r="HQS1" s="383"/>
      <c r="HQT1" s="383"/>
      <c r="HQU1" s="383"/>
      <c r="HQV1" s="383"/>
      <c r="HQW1" s="383"/>
      <c r="HQX1" s="383"/>
      <c r="HQY1" s="383"/>
      <c r="HQZ1" s="383"/>
      <c r="HRA1" s="383"/>
      <c r="HRB1" s="383"/>
      <c r="HRC1" s="383"/>
      <c r="HRD1" s="383"/>
      <c r="HRE1" s="383"/>
      <c r="HRF1" s="383"/>
      <c r="HRG1" s="383"/>
      <c r="HRH1" s="383"/>
      <c r="HRI1" s="383"/>
      <c r="HRJ1" s="383"/>
      <c r="HRK1" s="383"/>
      <c r="HRL1" s="383"/>
      <c r="HRM1" s="383"/>
      <c r="HRN1" s="383"/>
      <c r="HRO1" s="383"/>
      <c r="HRP1" s="383"/>
      <c r="HRQ1" s="383"/>
      <c r="HRR1" s="383"/>
      <c r="HRS1" s="383"/>
      <c r="HRT1" s="383"/>
      <c r="HRU1" s="383"/>
      <c r="HRV1" s="383"/>
      <c r="HRW1" s="383"/>
      <c r="HRX1" s="383"/>
      <c r="HRY1" s="383"/>
      <c r="HRZ1" s="383"/>
      <c r="HSA1" s="383"/>
      <c r="HSB1" s="383"/>
      <c r="HSC1" s="383"/>
      <c r="HSD1" s="383"/>
      <c r="HSE1" s="383"/>
      <c r="HSF1" s="383"/>
      <c r="HSG1" s="383"/>
      <c r="HSH1" s="383"/>
      <c r="HSI1" s="383"/>
      <c r="HSJ1" s="383"/>
      <c r="HSK1" s="383"/>
      <c r="HSL1" s="383"/>
      <c r="HSM1" s="383"/>
      <c r="HSN1" s="383"/>
      <c r="HSO1" s="383"/>
      <c r="HSP1" s="383"/>
      <c r="HSQ1" s="383"/>
      <c r="HSR1" s="383"/>
      <c r="HSS1" s="383"/>
      <c r="HST1" s="383"/>
      <c r="HSU1" s="383"/>
      <c r="HSV1" s="383"/>
      <c r="HSW1" s="383"/>
      <c r="HSX1" s="383"/>
      <c r="HSY1" s="383"/>
      <c r="HSZ1" s="383"/>
      <c r="HTA1" s="383"/>
      <c r="HTB1" s="383"/>
      <c r="HTC1" s="383"/>
      <c r="HTD1" s="383"/>
      <c r="HTE1" s="383"/>
      <c r="HTF1" s="383"/>
      <c r="HTG1" s="383"/>
      <c r="HTH1" s="383"/>
      <c r="HTI1" s="383"/>
      <c r="HTJ1" s="383"/>
      <c r="HTK1" s="383"/>
      <c r="HTL1" s="383"/>
      <c r="HTM1" s="383"/>
      <c r="HTN1" s="383"/>
      <c r="HTO1" s="383"/>
      <c r="HTP1" s="383"/>
      <c r="HTQ1" s="383"/>
      <c r="HTR1" s="383"/>
      <c r="HTS1" s="383"/>
      <c r="HTT1" s="383"/>
      <c r="HTU1" s="383"/>
      <c r="HTV1" s="383"/>
      <c r="HTW1" s="383"/>
      <c r="HTX1" s="383"/>
      <c r="HTY1" s="383"/>
      <c r="HTZ1" s="383"/>
      <c r="HUA1" s="383"/>
      <c r="HUB1" s="383"/>
      <c r="HUC1" s="383"/>
      <c r="HUD1" s="383"/>
      <c r="HUE1" s="383"/>
      <c r="HUF1" s="383"/>
      <c r="HUG1" s="383"/>
      <c r="HUH1" s="383"/>
      <c r="HUI1" s="383"/>
      <c r="HUJ1" s="383"/>
      <c r="HUK1" s="383"/>
      <c r="HUL1" s="383"/>
      <c r="HUM1" s="383"/>
      <c r="HUN1" s="383"/>
      <c r="HUO1" s="383"/>
      <c r="HUP1" s="383"/>
      <c r="HUQ1" s="383"/>
      <c r="HUR1" s="383"/>
      <c r="HUS1" s="383"/>
      <c r="HUT1" s="383"/>
      <c r="HUU1" s="383"/>
      <c r="HUV1" s="383"/>
      <c r="HUW1" s="383"/>
      <c r="HUX1" s="383"/>
      <c r="HUY1" s="383"/>
      <c r="HUZ1" s="383"/>
      <c r="HVA1" s="383"/>
      <c r="HVB1" s="383"/>
      <c r="HVC1" s="383"/>
      <c r="HVD1" s="383"/>
      <c r="HVE1" s="383"/>
      <c r="HVF1" s="383"/>
      <c r="HVG1" s="383"/>
      <c r="HVH1" s="383"/>
      <c r="HVI1" s="383"/>
      <c r="HVJ1" s="383"/>
      <c r="HVK1" s="383"/>
      <c r="HVL1" s="383"/>
      <c r="HVM1" s="383"/>
      <c r="HVN1" s="383"/>
      <c r="HVO1" s="383"/>
      <c r="HVP1" s="383"/>
      <c r="HVQ1" s="383"/>
      <c r="HVR1" s="383"/>
      <c r="HVS1" s="383"/>
      <c r="HVT1" s="383"/>
      <c r="HVU1" s="383"/>
      <c r="HVV1" s="383"/>
      <c r="HVW1" s="383"/>
      <c r="HVX1" s="383"/>
      <c r="HVY1" s="383"/>
      <c r="HVZ1" s="383"/>
      <c r="HWA1" s="383"/>
      <c r="HWB1" s="383"/>
      <c r="HWC1" s="383"/>
      <c r="HWD1" s="383"/>
      <c r="HWE1" s="383"/>
      <c r="HWF1" s="383"/>
      <c r="HWG1" s="383"/>
      <c r="HWH1" s="383"/>
      <c r="HWI1" s="383"/>
      <c r="HWJ1" s="383"/>
      <c r="HWK1" s="383"/>
      <c r="HWL1" s="383"/>
      <c r="HWM1" s="383"/>
      <c r="HWN1" s="383"/>
      <c r="HWO1" s="383"/>
      <c r="HWP1" s="383"/>
      <c r="HWQ1" s="383"/>
      <c r="HWR1" s="383"/>
      <c r="HWS1" s="383"/>
      <c r="HWT1" s="383"/>
      <c r="HWU1" s="383"/>
      <c r="HWV1" s="383"/>
      <c r="HWW1" s="383"/>
      <c r="HWX1" s="383"/>
      <c r="HWY1" s="383"/>
      <c r="HWZ1" s="383"/>
      <c r="HXA1" s="383"/>
      <c r="HXB1" s="383"/>
      <c r="HXC1" s="383"/>
      <c r="HXD1" s="383"/>
      <c r="HXE1" s="383"/>
      <c r="HXF1" s="383"/>
      <c r="HXG1" s="383"/>
      <c r="HXH1" s="383"/>
      <c r="HXI1" s="383"/>
      <c r="HXJ1" s="383"/>
      <c r="HXK1" s="383"/>
      <c r="HXL1" s="383"/>
      <c r="HXM1" s="383"/>
      <c r="HXN1" s="383"/>
      <c r="HXO1" s="383"/>
      <c r="HXP1" s="383"/>
      <c r="HXQ1" s="383"/>
      <c r="HXR1" s="383"/>
      <c r="HXS1" s="383"/>
      <c r="HXT1" s="383"/>
      <c r="HXU1" s="383"/>
      <c r="HXV1" s="383"/>
      <c r="HXW1" s="383"/>
      <c r="HXX1" s="383"/>
      <c r="HXY1" s="383"/>
      <c r="HXZ1" s="383"/>
      <c r="HYA1" s="383"/>
      <c r="HYB1" s="383"/>
      <c r="HYC1" s="383"/>
      <c r="HYD1" s="383"/>
      <c r="HYE1" s="383"/>
      <c r="HYF1" s="383"/>
      <c r="HYG1" s="383"/>
      <c r="HYH1" s="383"/>
      <c r="HYI1" s="383"/>
      <c r="HYJ1" s="383"/>
      <c r="HYK1" s="383"/>
      <c r="HYL1" s="383"/>
      <c r="HYM1" s="383"/>
      <c r="HYN1" s="383"/>
      <c r="HYO1" s="383"/>
      <c r="HYP1" s="383"/>
      <c r="HYQ1" s="383"/>
      <c r="HYR1" s="383"/>
      <c r="HYS1" s="383"/>
      <c r="HYT1" s="383"/>
      <c r="HYU1" s="383"/>
      <c r="HYV1" s="383"/>
      <c r="HYW1" s="383"/>
      <c r="HYX1" s="383"/>
      <c r="HYY1" s="383"/>
      <c r="HYZ1" s="383"/>
      <c r="HZA1" s="383"/>
      <c r="HZB1" s="383"/>
      <c r="HZC1" s="383"/>
      <c r="HZD1" s="383"/>
      <c r="HZE1" s="383"/>
      <c r="HZF1" s="383"/>
      <c r="HZG1" s="383"/>
      <c r="HZH1" s="383"/>
      <c r="HZI1" s="383"/>
      <c r="HZJ1" s="383"/>
      <c r="HZK1" s="383"/>
      <c r="HZL1" s="383"/>
      <c r="HZM1" s="383"/>
      <c r="HZN1" s="383"/>
      <c r="HZO1" s="383"/>
      <c r="HZP1" s="383"/>
      <c r="HZQ1" s="383"/>
      <c r="HZR1" s="383"/>
      <c r="HZS1" s="383"/>
      <c r="HZT1" s="383"/>
      <c r="HZU1" s="383"/>
      <c r="HZV1" s="383"/>
      <c r="HZW1" s="383"/>
      <c r="HZX1" s="383"/>
      <c r="HZY1" s="383"/>
      <c r="HZZ1" s="383"/>
      <c r="IAA1" s="383"/>
      <c r="IAB1" s="383"/>
      <c r="IAC1" s="383"/>
      <c r="IAD1" s="383"/>
      <c r="IAE1" s="383"/>
      <c r="IAF1" s="383"/>
      <c r="IAG1" s="383"/>
      <c r="IAH1" s="383"/>
      <c r="IAI1" s="383"/>
      <c r="IAJ1" s="383"/>
      <c r="IAK1" s="383"/>
      <c r="IAL1" s="383"/>
      <c r="IAM1" s="383"/>
      <c r="IAN1" s="383"/>
      <c r="IAO1" s="383"/>
      <c r="IAP1" s="383"/>
      <c r="IAQ1" s="383"/>
      <c r="IAR1" s="383"/>
      <c r="IAS1" s="383"/>
      <c r="IAT1" s="383"/>
      <c r="IAU1" s="383"/>
      <c r="IAV1" s="383"/>
      <c r="IAW1" s="383"/>
      <c r="IAX1" s="383"/>
      <c r="IAY1" s="383"/>
      <c r="IAZ1" s="383"/>
      <c r="IBA1" s="383"/>
      <c r="IBB1" s="383"/>
      <c r="IBC1" s="383"/>
      <c r="IBD1" s="383"/>
      <c r="IBE1" s="383"/>
      <c r="IBF1" s="383"/>
      <c r="IBG1" s="383"/>
      <c r="IBH1" s="383"/>
      <c r="IBI1" s="383"/>
      <c r="IBJ1" s="383"/>
      <c r="IBK1" s="383"/>
      <c r="IBL1" s="383"/>
      <c r="IBM1" s="383"/>
      <c r="IBN1" s="383"/>
      <c r="IBO1" s="383"/>
      <c r="IBP1" s="383"/>
      <c r="IBQ1" s="383"/>
      <c r="IBR1" s="383"/>
      <c r="IBS1" s="383"/>
      <c r="IBT1" s="383"/>
      <c r="IBU1" s="383"/>
      <c r="IBV1" s="383"/>
      <c r="IBW1" s="383"/>
      <c r="IBX1" s="383"/>
      <c r="IBY1" s="383"/>
      <c r="IBZ1" s="383"/>
      <c r="ICA1" s="383"/>
      <c r="ICB1" s="383"/>
      <c r="ICC1" s="383"/>
      <c r="ICD1" s="383"/>
      <c r="ICE1" s="383"/>
      <c r="ICF1" s="383"/>
      <c r="ICG1" s="383"/>
      <c r="ICH1" s="383"/>
      <c r="ICI1" s="383"/>
      <c r="ICJ1" s="383"/>
      <c r="ICK1" s="383"/>
      <c r="ICL1" s="383"/>
      <c r="ICM1" s="383"/>
      <c r="ICN1" s="383"/>
      <c r="ICO1" s="383"/>
      <c r="ICP1" s="383"/>
      <c r="ICQ1" s="383"/>
      <c r="ICR1" s="383"/>
      <c r="ICS1" s="383"/>
      <c r="ICT1" s="383"/>
      <c r="ICU1" s="383"/>
      <c r="ICV1" s="383"/>
      <c r="ICW1" s="383"/>
      <c r="ICX1" s="383"/>
      <c r="ICY1" s="383"/>
      <c r="ICZ1" s="383"/>
      <c r="IDA1" s="383"/>
      <c r="IDB1" s="383"/>
      <c r="IDC1" s="383"/>
      <c r="IDD1" s="383"/>
      <c r="IDE1" s="383"/>
      <c r="IDF1" s="383"/>
      <c r="IDG1" s="383"/>
      <c r="IDH1" s="383"/>
      <c r="IDI1" s="383"/>
      <c r="IDJ1" s="383"/>
      <c r="IDK1" s="383"/>
      <c r="IDL1" s="383"/>
      <c r="IDM1" s="383"/>
      <c r="IDN1" s="383"/>
      <c r="IDO1" s="383"/>
      <c r="IDP1" s="383"/>
      <c r="IDQ1" s="383"/>
      <c r="IDR1" s="383"/>
      <c r="IDS1" s="383"/>
      <c r="IDT1" s="383"/>
      <c r="IDU1" s="383"/>
      <c r="IDV1" s="383"/>
      <c r="IDW1" s="383"/>
      <c r="IDX1" s="383"/>
      <c r="IDY1" s="383"/>
      <c r="IDZ1" s="383"/>
      <c r="IEA1" s="383"/>
      <c r="IEB1" s="383"/>
      <c r="IEC1" s="383"/>
      <c r="IED1" s="383"/>
      <c r="IEE1" s="383"/>
      <c r="IEF1" s="383"/>
      <c r="IEG1" s="383"/>
      <c r="IEH1" s="383"/>
      <c r="IEI1" s="383"/>
      <c r="IEJ1" s="383"/>
      <c r="IEK1" s="383"/>
      <c r="IEL1" s="383"/>
      <c r="IEM1" s="383"/>
      <c r="IEN1" s="383"/>
      <c r="IEO1" s="383"/>
      <c r="IEP1" s="383"/>
      <c r="IEQ1" s="383"/>
      <c r="IER1" s="383"/>
      <c r="IES1" s="383"/>
      <c r="IET1" s="383"/>
      <c r="IEU1" s="383"/>
      <c r="IEV1" s="383"/>
      <c r="IEW1" s="383"/>
      <c r="IEX1" s="383"/>
      <c r="IEY1" s="383"/>
      <c r="IEZ1" s="383"/>
      <c r="IFA1" s="383"/>
      <c r="IFB1" s="383"/>
      <c r="IFC1" s="383"/>
      <c r="IFD1" s="383"/>
      <c r="IFE1" s="383"/>
      <c r="IFF1" s="383"/>
      <c r="IFG1" s="383"/>
      <c r="IFH1" s="383"/>
      <c r="IFI1" s="383"/>
      <c r="IFJ1" s="383"/>
      <c r="IFK1" s="383"/>
      <c r="IFL1" s="383"/>
      <c r="IFM1" s="383"/>
      <c r="IFN1" s="383"/>
      <c r="IFO1" s="383"/>
      <c r="IFP1" s="383"/>
      <c r="IFQ1" s="383"/>
      <c r="IFR1" s="383"/>
      <c r="IFS1" s="383"/>
      <c r="IFT1" s="383"/>
      <c r="IFU1" s="383"/>
      <c r="IFV1" s="383"/>
      <c r="IFW1" s="383"/>
      <c r="IFX1" s="383"/>
      <c r="IFY1" s="383"/>
      <c r="IFZ1" s="383"/>
      <c r="IGA1" s="383"/>
      <c r="IGB1" s="383"/>
      <c r="IGC1" s="383"/>
      <c r="IGD1" s="383"/>
      <c r="IGE1" s="383"/>
      <c r="IGF1" s="383"/>
      <c r="IGG1" s="383"/>
      <c r="IGH1" s="383"/>
      <c r="IGI1" s="383"/>
      <c r="IGJ1" s="383"/>
      <c r="IGK1" s="383"/>
      <c r="IGL1" s="383"/>
      <c r="IGM1" s="383"/>
      <c r="IGN1" s="383"/>
      <c r="IGO1" s="383"/>
      <c r="IGP1" s="383"/>
      <c r="IGQ1" s="383"/>
      <c r="IGR1" s="383"/>
      <c r="IGS1" s="383"/>
      <c r="IGT1" s="383"/>
      <c r="IGU1" s="383"/>
      <c r="IGV1" s="383"/>
      <c r="IGW1" s="383"/>
      <c r="IGX1" s="383"/>
      <c r="IGY1" s="383"/>
      <c r="IGZ1" s="383"/>
      <c r="IHA1" s="383"/>
      <c r="IHB1" s="383"/>
      <c r="IHC1" s="383"/>
      <c r="IHD1" s="383"/>
      <c r="IHE1" s="383"/>
      <c r="IHF1" s="383"/>
      <c r="IHG1" s="383"/>
      <c r="IHH1" s="383"/>
      <c r="IHI1" s="383"/>
      <c r="IHJ1" s="383"/>
      <c r="IHK1" s="383"/>
      <c r="IHL1" s="383"/>
      <c r="IHM1" s="383"/>
      <c r="IHN1" s="383"/>
      <c r="IHO1" s="383"/>
      <c r="IHP1" s="383"/>
      <c r="IHQ1" s="383"/>
      <c r="IHR1" s="383"/>
      <c r="IHS1" s="383"/>
      <c r="IHT1" s="383"/>
      <c r="IHU1" s="383"/>
      <c r="IHV1" s="383"/>
      <c r="IHW1" s="383"/>
      <c r="IHX1" s="383"/>
      <c r="IHY1" s="383"/>
      <c r="IHZ1" s="383"/>
      <c r="IIA1" s="383"/>
      <c r="IIB1" s="383"/>
      <c r="IIC1" s="383"/>
      <c r="IID1" s="383"/>
      <c r="IIE1" s="383"/>
      <c r="IIF1" s="383"/>
      <c r="IIG1" s="383"/>
      <c r="IIH1" s="383"/>
      <c r="III1" s="383"/>
      <c r="IIJ1" s="383"/>
      <c r="IIK1" s="383"/>
      <c r="IIL1" s="383"/>
      <c r="IIM1" s="383"/>
      <c r="IIN1" s="383"/>
      <c r="IIO1" s="383"/>
      <c r="IIP1" s="383"/>
      <c r="IIQ1" s="383"/>
      <c r="IIR1" s="383"/>
      <c r="IIS1" s="383"/>
      <c r="IIT1" s="383"/>
      <c r="IIU1" s="383"/>
      <c r="IIV1" s="383"/>
      <c r="IIW1" s="383"/>
      <c r="IIX1" s="383"/>
      <c r="IIY1" s="383"/>
      <c r="IIZ1" s="383"/>
      <c r="IJA1" s="383"/>
      <c r="IJB1" s="383"/>
      <c r="IJC1" s="383"/>
      <c r="IJD1" s="383"/>
      <c r="IJE1" s="383"/>
      <c r="IJF1" s="383"/>
      <c r="IJG1" s="383"/>
      <c r="IJH1" s="383"/>
      <c r="IJI1" s="383"/>
      <c r="IJJ1" s="383"/>
      <c r="IJK1" s="383"/>
      <c r="IJL1" s="383"/>
      <c r="IJM1" s="383"/>
      <c r="IJN1" s="383"/>
      <c r="IJO1" s="383"/>
      <c r="IJP1" s="383"/>
      <c r="IJQ1" s="383"/>
      <c r="IJR1" s="383"/>
      <c r="IJS1" s="383"/>
      <c r="IJT1" s="383"/>
      <c r="IJU1" s="383"/>
      <c r="IJV1" s="383"/>
      <c r="IJW1" s="383"/>
      <c r="IJX1" s="383"/>
      <c r="IJY1" s="383"/>
      <c r="IJZ1" s="383"/>
      <c r="IKA1" s="383"/>
      <c r="IKB1" s="383"/>
      <c r="IKC1" s="383"/>
      <c r="IKD1" s="383"/>
      <c r="IKE1" s="383"/>
      <c r="IKF1" s="383"/>
      <c r="IKG1" s="383"/>
      <c r="IKH1" s="383"/>
      <c r="IKI1" s="383"/>
      <c r="IKJ1" s="383"/>
      <c r="IKK1" s="383"/>
      <c r="IKL1" s="383"/>
      <c r="IKM1" s="383"/>
      <c r="IKN1" s="383"/>
      <c r="IKO1" s="383"/>
      <c r="IKP1" s="383"/>
      <c r="IKQ1" s="383"/>
      <c r="IKR1" s="383"/>
      <c r="IKS1" s="383"/>
      <c r="IKT1" s="383"/>
      <c r="IKU1" s="383"/>
      <c r="IKV1" s="383"/>
      <c r="IKW1" s="383"/>
      <c r="IKX1" s="383"/>
      <c r="IKY1" s="383"/>
      <c r="IKZ1" s="383"/>
      <c r="ILA1" s="383"/>
      <c r="ILB1" s="383"/>
      <c r="ILC1" s="383"/>
      <c r="ILD1" s="383"/>
      <c r="ILE1" s="383"/>
      <c r="ILF1" s="383"/>
      <c r="ILG1" s="383"/>
      <c r="ILH1" s="383"/>
      <c r="ILI1" s="383"/>
      <c r="ILJ1" s="383"/>
      <c r="ILK1" s="383"/>
      <c r="ILL1" s="383"/>
      <c r="ILM1" s="383"/>
      <c r="ILN1" s="383"/>
      <c r="ILO1" s="383"/>
      <c r="ILP1" s="383"/>
      <c r="ILQ1" s="383"/>
      <c r="ILR1" s="383"/>
      <c r="ILS1" s="383"/>
      <c r="ILT1" s="383"/>
      <c r="ILU1" s="383"/>
      <c r="ILV1" s="383"/>
      <c r="ILW1" s="383"/>
      <c r="ILX1" s="383"/>
      <c r="ILY1" s="383"/>
      <c r="ILZ1" s="383"/>
      <c r="IMA1" s="383"/>
      <c r="IMB1" s="383"/>
      <c r="IMC1" s="383"/>
      <c r="IMD1" s="383"/>
      <c r="IME1" s="383"/>
      <c r="IMF1" s="383"/>
      <c r="IMG1" s="383"/>
      <c r="IMH1" s="383"/>
      <c r="IMI1" s="383"/>
      <c r="IMJ1" s="383"/>
      <c r="IMK1" s="383"/>
      <c r="IML1" s="383"/>
      <c r="IMM1" s="383"/>
      <c r="IMN1" s="383"/>
      <c r="IMO1" s="383"/>
      <c r="IMP1" s="383"/>
      <c r="IMQ1" s="383"/>
      <c r="IMR1" s="383"/>
      <c r="IMS1" s="383"/>
      <c r="IMT1" s="383"/>
      <c r="IMU1" s="383"/>
      <c r="IMV1" s="383"/>
      <c r="IMW1" s="383"/>
      <c r="IMX1" s="383"/>
      <c r="IMY1" s="383"/>
      <c r="IMZ1" s="383"/>
      <c r="INA1" s="383"/>
      <c r="INB1" s="383"/>
      <c r="INC1" s="383"/>
      <c r="IND1" s="383"/>
      <c r="INE1" s="383"/>
      <c r="INF1" s="383"/>
      <c r="ING1" s="383"/>
      <c r="INH1" s="383"/>
      <c r="INI1" s="383"/>
      <c r="INJ1" s="383"/>
      <c r="INK1" s="383"/>
      <c r="INL1" s="383"/>
      <c r="INM1" s="383"/>
      <c r="INN1" s="383"/>
      <c r="INO1" s="383"/>
      <c r="INP1" s="383"/>
      <c r="INQ1" s="383"/>
      <c r="INR1" s="383"/>
      <c r="INS1" s="383"/>
      <c r="INT1" s="383"/>
      <c r="INU1" s="383"/>
      <c r="INV1" s="383"/>
      <c r="INW1" s="383"/>
      <c r="INX1" s="383"/>
      <c r="INY1" s="383"/>
      <c r="INZ1" s="383"/>
      <c r="IOA1" s="383"/>
      <c r="IOB1" s="383"/>
      <c r="IOC1" s="383"/>
      <c r="IOD1" s="383"/>
      <c r="IOE1" s="383"/>
      <c r="IOF1" s="383"/>
      <c r="IOG1" s="383"/>
      <c r="IOH1" s="383"/>
      <c r="IOI1" s="383"/>
      <c r="IOJ1" s="383"/>
      <c r="IOK1" s="383"/>
      <c r="IOL1" s="383"/>
      <c r="IOM1" s="383"/>
      <c r="ION1" s="383"/>
      <c r="IOO1" s="383"/>
      <c r="IOP1" s="383"/>
      <c r="IOQ1" s="383"/>
      <c r="IOR1" s="383"/>
      <c r="IOS1" s="383"/>
      <c r="IOT1" s="383"/>
      <c r="IOU1" s="383"/>
      <c r="IOV1" s="383"/>
      <c r="IOW1" s="383"/>
      <c r="IOX1" s="383"/>
      <c r="IOY1" s="383"/>
      <c r="IOZ1" s="383"/>
      <c r="IPA1" s="383"/>
      <c r="IPB1" s="383"/>
      <c r="IPC1" s="383"/>
      <c r="IPD1" s="383"/>
      <c r="IPE1" s="383"/>
      <c r="IPF1" s="383"/>
      <c r="IPG1" s="383"/>
      <c r="IPH1" s="383"/>
      <c r="IPI1" s="383"/>
      <c r="IPJ1" s="383"/>
      <c r="IPK1" s="383"/>
      <c r="IPL1" s="383"/>
      <c r="IPM1" s="383"/>
      <c r="IPN1" s="383"/>
      <c r="IPO1" s="383"/>
      <c r="IPP1" s="383"/>
      <c r="IPQ1" s="383"/>
      <c r="IPR1" s="383"/>
      <c r="IPS1" s="383"/>
      <c r="IPT1" s="383"/>
      <c r="IPU1" s="383"/>
      <c r="IPV1" s="383"/>
      <c r="IPW1" s="383"/>
      <c r="IPX1" s="383"/>
      <c r="IPY1" s="383"/>
      <c r="IPZ1" s="383"/>
      <c r="IQA1" s="383"/>
      <c r="IQB1" s="383"/>
      <c r="IQC1" s="383"/>
      <c r="IQD1" s="383"/>
      <c r="IQE1" s="383"/>
      <c r="IQF1" s="383"/>
      <c r="IQG1" s="383"/>
      <c r="IQH1" s="383"/>
      <c r="IQI1" s="383"/>
      <c r="IQJ1" s="383"/>
      <c r="IQK1" s="383"/>
      <c r="IQL1" s="383"/>
      <c r="IQM1" s="383"/>
      <c r="IQN1" s="383"/>
      <c r="IQO1" s="383"/>
      <c r="IQP1" s="383"/>
      <c r="IQQ1" s="383"/>
      <c r="IQR1" s="383"/>
      <c r="IQS1" s="383"/>
      <c r="IQT1" s="383"/>
      <c r="IQU1" s="383"/>
      <c r="IQV1" s="383"/>
      <c r="IQW1" s="383"/>
      <c r="IQX1" s="383"/>
      <c r="IQY1" s="383"/>
      <c r="IQZ1" s="383"/>
      <c r="IRA1" s="383"/>
      <c r="IRB1" s="383"/>
      <c r="IRC1" s="383"/>
      <c r="IRD1" s="383"/>
      <c r="IRE1" s="383"/>
      <c r="IRF1" s="383"/>
      <c r="IRG1" s="383"/>
      <c r="IRH1" s="383"/>
      <c r="IRI1" s="383"/>
      <c r="IRJ1" s="383"/>
      <c r="IRK1" s="383"/>
      <c r="IRL1" s="383"/>
      <c r="IRM1" s="383"/>
      <c r="IRN1" s="383"/>
      <c r="IRO1" s="383"/>
      <c r="IRP1" s="383"/>
      <c r="IRQ1" s="383"/>
      <c r="IRR1" s="383"/>
      <c r="IRS1" s="383"/>
      <c r="IRT1" s="383"/>
      <c r="IRU1" s="383"/>
      <c r="IRV1" s="383"/>
      <c r="IRW1" s="383"/>
      <c r="IRX1" s="383"/>
      <c r="IRY1" s="383"/>
      <c r="IRZ1" s="383"/>
      <c r="ISA1" s="383"/>
      <c r="ISB1" s="383"/>
      <c r="ISC1" s="383"/>
      <c r="ISD1" s="383"/>
      <c r="ISE1" s="383"/>
      <c r="ISF1" s="383"/>
      <c r="ISG1" s="383"/>
      <c r="ISH1" s="383"/>
      <c r="ISI1" s="383"/>
      <c r="ISJ1" s="383"/>
      <c r="ISK1" s="383"/>
      <c r="ISL1" s="383"/>
      <c r="ISM1" s="383"/>
      <c r="ISN1" s="383"/>
      <c r="ISO1" s="383"/>
      <c r="ISP1" s="383"/>
      <c r="ISQ1" s="383"/>
      <c r="ISR1" s="383"/>
      <c r="ISS1" s="383"/>
      <c r="IST1" s="383"/>
      <c r="ISU1" s="383"/>
      <c r="ISV1" s="383"/>
      <c r="ISW1" s="383"/>
      <c r="ISX1" s="383"/>
      <c r="ISY1" s="383"/>
      <c r="ISZ1" s="383"/>
      <c r="ITA1" s="383"/>
      <c r="ITB1" s="383"/>
      <c r="ITC1" s="383"/>
      <c r="ITD1" s="383"/>
      <c r="ITE1" s="383"/>
      <c r="ITF1" s="383"/>
      <c r="ITG1" s="383"/>
      <c r="ITH1" s="383"/>
      <c r="ITI1" s="383"/>
      <c r="ITJ1" s="383"/>
      <c r="ITK1" s="383"/>
      <c r="ITL1" s="383"/>
      <c r="ITM1" s="383"/>
      <c r="ITN1" s="383"/>
      <c r="ITO1" s="383"/>
      <c r="ITP1" s="383"/>
      <c r="ITQ1" s="383"/>
      <c r="ITR1" s="383"/>
      <c r="ITS1" s="383"/>
      <c r="ITT1" s="383"/>
      <c r="ITU1" s="383"/>
      <c r="ITV1" s="383"/>
      <c r="ITW1" s="383"/>
      <c r="ITX1" s="383"/>
      <c r="ITY1" s="383"/>
      <c r="ITZ1" s="383"/>
      <c r="IUA1" s="383"/>
      <c r="IUB1" s="383"/>
      <c r="IUC1" s="383"/>
      <c r="IUD1" s="383"/>
      <c r="IUE1" s="383"/>
      <c r="IUF1" s="383"/>
      <c r="IUG1" s="383"/>
      <c r="IUH1" s="383"/>
      <c r="IUI1" s="383"/>
      <c r="IUJ1" s="383"/>
      <c r="IUK1" s="383"/>
      <c r="IUL1" s="383"/>
      <c r="IUM1" s="383"/>
      <c r="IUN1" s="383"/>
      <c r="IUO1" s="383"/>
      <c r="IUP1" s="383"/>
      <c r="IUQ1" s="383"/>
      <c r="IUR1" s="383"/>
      <c r="IUS1" s="383"/>
      <c r="IUT1" s="383"/>
      <c r="IUU1" s="383"/>
      <c r="IUV1" s="383"/>
      <c r="IUW1" s="383"/>
      <c r="IUX1" s="383"/>
      <c r="IUY1" s="383"/>
      <c r="IUZ1" s="383"/>
      <c r="IVA1" s="383"/>
      <c r="IVB1" s="383"/>
      <c r="IVC1" s="383"/>
      <c r="IVD1" s="383"/>
      <c r="IVE1" s="383"/>
      <c r="IVF1" s="383"/>
      <c r="IVG1" s="383"/>
      <c r="IVH1" s="383"/>
      <c r="IVI1" s="383"/>
      <c r="IVJ1" s="383"/>
      <c r="IVK1" s="383"/>
      <c r="IVL1" s="383"/>
      <c r="IVM1" s="383"/>
      <c r="IVN1" s="383"/>
      <c r="IVO1" s="383"/>
      <c r="IVP1" s="383"/>
      <c r="IVQ1" s="383"/>
      <c r="IVR1" s="383"/>
      <c r="IVS1" s="383"/>
      <c r="IVT1" s="383"/>
      <c r="IVU1" s="383"/>
      <c r="IVV1" s="383"/>
      <c r="IVW1" s="383"/>
      <c r="IVX1" s="383"/>
      <c r="IVY1" s="383"/>
      <c r="IVZ1" s="383"/>
      <c r="IWA1" s="383"/>
      <c r="IWB1" s="383"/>
      <c r="IWC1" s="383"/>
      <c r="IWD1" s="383"/>
      <c r="IWE1" s="383"/>
      <c r="IWF1" s="383"/>
      <c r="IWG1" s="383"/>
      <c r="IWH1" s="383"/>
      <c r="IWI1" s="383"/>
      <c r="IWJ1" s="383"/>
      <c r="IWK1" s="383"/>
      <c r="IWL1" s="383"/>
      <c r="IWM1" s="383"/>
      <c r="IWN1" s="383"/>
      <c r="IWO1" s="383"/>
      <c r="IWP1" s="383"/>
      <c r="IWQ1" s="383"/>
      <c r="IWR1" s="383"/>
      <c r="IWS1" s="383"/>
      <c r="IWT1" s="383"/>
      <c r="IWU1" s="383"/>
      <c r="IWV1" s="383"/>
      <c r="IWW1" s="383"/>
      <c r="IWX1" s="383"/>
      <c r="IWY1" s="383"/>
      <c r="IWZ1" s="383"/>
      <c r="IXA1" s="383"/>
      <c r="IXB1" s="383"/>
      <c r="IXC1" s="383"/>
      <c r="IXD1" s="383"/>
      <c r="IXE1" s="383"/>
      <c r="IXF1" s="383"/>
      <c r="IXG1" s="383"/>
      <c r="IXH1" s="383"/>
      <c r="IXI1" s="383"/>
      <c r="IXJ1" s="383"/>
      <c r="IXK1" s="383"/>
      <c r="IXL1" s="383"/>
      <c r="IXM1" s="383"/>
      <c r="IXN1" s="383"/>
      <c r="IXO1" s="383"/>
      <c r="IXP1" s="383"/>
      <c r="IXQ1" s="383"/>
      <c r="IXR1" s="383"/>
      <c r="IXS1" s="383"/>
      <c r="IXT1" s="383"/>
      <c r="IXU1" s="383"/>
      <c r="IXV1" s="383"/>
      <c r="IXW1" s="383"/>
      <c r="IXX1" s="383"/>
      <c r="IXY1" s="383"/>
      <c r="IXZ1" s="383"/>
      <c r="IYA1" s="383"/>
      <c r="IYB1" s="383"/>
      <c r="IYC1" s="383"/>
      <c r="IYD1" s="383"/>
      <c r="IYE1" s="383"/>
      <c r="IYF1" s="383"/>
      <c r="IYG1" s="383"/>
      <c r="IYH1" s="383"/>
      <c r="IYI1" s="383"/>
      <c r="IYJ1" s="383"/>
      <c r="IYK1" s="383"/>
      <c r="IYL1" s="383"/>
      <c r="IYM1" s="383"/>
      <c r="IYN1" s="383"/>
      <c r="IYO1" s="383"/>
      <c r="IYP1" s="383"/>
      <c r="IYQ1" s="383"/>
      <c r="IYR1" s="383"/>
      <c r="IYS1" s="383"/>
      <c r="IYT1" s="383"/>
      <c r="IYU1" s="383"/>
      <c r="IYV1" s="383"/>
      <c r="IYW1" s="383"/>
      <c r="IYX1" s="383"/>
      <c r="IYY1" s="383"/>
      <c r="IYZ1" s="383"/>
      <c r="IZA1" s="383"/>
      <c r="IZB1" s="383"/>
      <c r="IZC1" s="383"/>
      <c r="IZD1" s="383"/>
      <c r="IZE1" s="383"/>
      <c r="IZF1" s="383"/>
      <c r="IZG1" s="383"/>
      <c r="IZH1" s="383"/>
      <c r="IZI1" s="383"/>
      <c r="IZJ1" s="383"/>
      <c r="IZK1" s="383"/>
      <c r="IZL1" s="383"/>
      <c r="IZM1" s="383"/>
      <c r="IZN1" s="383"/>
      <c r="IZO1" s="383"/>
      <c r="IZP1" s="383"/>
      <c r="IZQ1" s="383"/>
      <c r="IZR1" s="383"/>
      <c r="IZS1" s="383"/>
      <c r="IZT1" s="383"/>
      <c r="IZU1" s="383"/>
      <c r="IZV1" s="383"/>
      <c r="IZW1" s="383"/>
      <c r="IZX1" s="383"/>
      <c r="IZY1" s="383"/>
      <c r="IZZ1" s="383"/>
      <c r="JAA1" s="383"/>
      <c r="JAB1" s="383"/>
      <c r="JAC1" s="383"/>
      <c r="JAD1" s="383"/>
      <c r="JAE1" s="383"/>
      <c r="JAF1" s="383"/>
      <c r="JAG1" s="383"/>
      <c r="JAH1" s="383"/>
      <c r="JAI1" s="383"/>
      <c r="JAJ1" s="383"/>
      <c r="JAK1" s="383"/>
      <c r="JAL1" s="383"/>
      <c r="JAM1" s="383"/>
      <c r="JAN1" s="383"/>
      <c r="JAO1" s="383"/>
      <c r="JAP1" s="383"/>
      <c r="JAQ1" s="383"/>
      <c r="JAR1" s="383"/>
      <c r="JAS1" s="383"/>
      <c r="JAT1" s="383"/>
      <c r="JAU1" s="383"/>
      <c r="JAV1" s="383"/>
      <c r="JAW1" s="383"/>
      <c r="JAX1" s="383"/>
      <c r="JAY1" s="383"/>
      <c r="JAZ1" s="383"/>
      <c r="JBA1" s="383"/>
      <c r="JBB1" s="383"/>
      <c r="JBC1" s="383"/>
      <c r="JBD1" s="383"/>
      <c r="JBE1" s="383"/>
      <c r="JBF1" s="383"/>
      <c r="JBG1" s="383"/>
      <c r="JBH1" s="383"/>
      <c r="JBI1" s="383"/>
      <c r="JBJ1" s="383"/>
      <c r="JBK1" s="383"/>
      <c r="JBL1" s="383"/>
      <c r="JBM1" s="383"/>
      <c r="JBN1" s="383"/>
      <c r="JBO1" s="383"/>
      <c r="JBP1" s="383"/>
      <c r="JBQ1" s="383"/>
      <c r="JBR1" s="383"/>
      <c r="JBS1" s="383"/>
      <c r="JBT1" s="383"/>
      <c r="JBU1" s="383"/>
      <c r="JBV1" s="383"/>
      <c r="JBW1" s="383"/>
      <c r="JBX1" s="383"/>
      <c r="JBY1" s="383"/>
      <c r="JBZ1" s="383"/>
      <c r="JCA1" s="383"/>
      <c r="JCB1" s="383"/>
      <c r="JCC1" s="383"/>
      <c r="JCD1" s="383"/>
      <c r="JCE1" s="383"/>
      <c r="JCF1" s="383"/>
      <c r="JCG1" s="383"/>
      <c r="JCH1" s="383"/>
      <c r="JCI1" s="383"/>
      <c r="JCJ1" s="383"/>
      <c r="JCK1" s="383"/>
      <c r="JCL1" s="383"/>
      <c r="JCM1" s="383"/>
      <c r="JCN1" s="383"/>
      <c r="JCO1" s="383"/>
      <c r="JCP1" s="383"/>
      <c r="JCQ1" s="383"/>
      <c r="JCR1" s="383"/>
      <c r="JCS1" s="383"/>
      <c r="JCT1" s="383"/>
      <c r="JCU1" s="383"/>
      <c r="JCV1" s="383"/>
      <c r="JCW1" s="383"/>
      <c r="JCX1" s="383"/>
      <c r="JCY1" s="383"/>
      <c r="JCZ1" s="383"/>
      <c r="JDA1" s="383"/>
      <c r="JDB1" s="383"/>
      <c r="JDC1" s="383"/>
      <c r="JDD1" s="383"/>
      <c r="JDE1" s="383"/>
      <c r="JDF1" s="383"/>
      <c r="JDG1" s="383"/>
      <c r="JDH1" s="383"/>
      <c r="JDI1" s="383"/>
      <c r="JDJ1" s="383"/>
      <c r="JDK1" s="383"/>
      <c r="JDL1" s="383"/>
      <c r="JDM1" s="383"/>
      <c r="JDN1" s="383"/>
      <c r="JDO1" s="383"/>
      <c r="JDP1" s="383"/>
      <c r="JDQ1" s="383"/>
      <c r="JDR1" s="383"/>
      <c r="JDS1" s="383"/>
      <c r="JDT1" s="383"/>
      <c r="JDU1" s="383"/>
      <c r="JDV1" s="383"/>
      <c r="JDW1" s="383"/>
      <c r="JDX1" s="383"/>
      <c r="JDY1" s="383"/>
      <c r="JDZ1" s="383"/>
      <c r="JEA1" s="383"/>
      <c r="JEB1" s="383"/>
      <c r="JEC1" s="383"/>
      <c r="JED1" s="383"/>
      <c r="JEE1" s="383"/>
      <c r="JEF1" s="383"/>
      <c r="JEG1" s="383"/>
      <c r="JEH1" s="383"/>
      <c r="JEI1" s="383"/>
      <c r="JEJ1" s="383"/>
      <c r="JEK1" s="383"/>
      <c r="JEL1" s="383"/>
      <c r="JEM1" s="383"/>
      <c r="JEN1" s="383"/>
      <c r="JEO1" s="383"/>
      <c r="JEP1" s="383"/>
      <c r="JEQ1" s="383"/>
      <c r="JER1" s="383"/>
      <c r="JES1" s="383"/>
      <c r="JET1" s="383"/>
      <c r="JEU1" s="383"/>
      <c r="JEV1" s="383"/>
      <c r="JEW1" s="383"/>
      <c r="JEX1" s="383"/>
      <c r="JEY1" s="383"/>
      <c r="JEZ1" s="383"/>
      <c r="JFA1" s="383"/>
      <c r="JFB1" s="383"/>
      <c r="JFC1" s="383"/>
      <c r="JFD1" s="383"/>
      <c r="JFE1" s="383"/>
      <c r="JFF1" s="383"/>
      <c r="JFG1" s="383"/>
      <c r="JFH1" s="383"/>
      <c r="JFI1" s="383"/>
      <c r="JFJ1" s="383"/>
      <c r="JFK1" s="383"/>
      <c r="JFL1" s="383"/>
      <c r="JFM1" s="383"/>
      <c r="JFN1" s="383"/>
      <c r="JFO1" s="383"/>
      <c r="JFP1" s="383"/>
      <c r="JFQ1" s="383"/>
      <c r="JFR1" s="383"/>
      <c r="JFS1" s="383"/>
      <c r="JFT1" s="383"/>
      <c r="JFU1" s="383"/>
      <c r="JFV1" s="383"/>
      <c r="JFW1" s="383"/>
      <c r="JFX1" s="383"/>
      <c r="JFY1" s="383"/>
      <c r="JFZ1" s="383"/>
      <c r="JGA1" s="383"/>
      <c r="JGB1" s="383"/>
      <c r="JGC1" s="383"/>
      <c r="JGD1" s="383"/>
      <c r="JGE1" s="383"/>
      <c r="JGF1" s="383"/>
      <c r="JGG1" s="383"/>
      <c r="JGH1" s="383"/>
      <c r="JGI1" s="383"/>
      <c r="JGJ1" s="383"/>
      <c r="JGK1" s="383"/>
      <c r="JGL1" s="383"/>
      <c r="JGM1" s="383"/>
      <c r="JGN1" s="383"/>
      <c r="JGO1" s="383"/>
      <c r="JGP1" s="383"/>
      <c r="JGQ1" s="383"/>
      <c r="JGR1" s="383"/>
      <c r="JGS1" s="383"/>
      <c r="JGT1" s="383"/>
      <c r="JGU1" s="383"/>
      <c r="JGV1" s="383"/>
      <c r="JGW1" s="383"/>
      <c r="JGX1" s="383"/>
      <c r="JGY1" s="383"/>
      <c r="JGZ1" s="383"/>
      <c r="JHA1" s="383"/>
      <c r="JHB1" s="383"/>
      <c r="JHC1" s="383"/>
      <c r="JHD1" s="383"/>
      <c r="JHE1" s="383"/>
      <c r="JHF1" s="383"/>
      <c r="JHG1" s="383"/>
      <c r="JHH1" s="383"/>
      <c r="JHI1" s="383"/>
      <c r="JHJ1" s="383"/>
      <c r="JHK1" s="383"/>
      <c r="JHL1" s="383"/>
      <c r="JHM1" s="383"/>
      <c r="JHN1" s="383"/>
      <c r="JHO1" s="383"/>
      <c r="JHP1" s="383"/>
      <c r="JHQ1" s="383"/>
      <c r="JHR1" s="383"/>
      <c r="JHS1" s="383"/>
      <c r="JHT1" s="383"/>
      <c r="JHU1" s="383"/>
      <c r="JHV1" s="383"/>
      <c r="JHW1" s="383"/>
      <c r="JHX1" s="383"/>
      <c r="JHY1" s="383"/>
      <c r="JHZ1" s="383"/>
      <c r="JIA1" s="383"/>
      <c r="JIB1" s="383"/>
      <c r="JIC1" s="383"/>
      <c r="JID1" s="383"/>
      <c r="JIE1" s="383"/>
      <c r="JIF1" s="383"/>
      <c r="JIG1" s="383"/>
      <c r="JIH1" s="383"/>
      <c r="JII1" s="383"/>
      <c r="JIJ1" s="383"/>
      <c r="JIK1" s="383"/>
      <c r="JIL1" s="383"/>
      <c r="JIM1" s="383"/>
      <c r="JIN1" s="383"/>
      <c r="JIO1" s="383"/>
      <c r="JIP1" s="383"/>
      <c r="JIQ1" s="383"/>
      <c r="JIR1" s="383"/>
      <c r="JIS1" s="383"/>
      <c r="JIT1" s="383"/>
      <c r="JIU1" s="383"/>
      <c r="JIV1" s="383"/>
      <c r="JIW1" s="383"/>
      <c r="JIX1" s="383"/>
      <c r="JIY1" s="383"/>
      <c r="JIZ1" s="383"/>
      <c r="JJA1" s="383"/>
      <c r="JJB1" s="383"/>
      <c r="JJC1" s="383"/>
      <c r="JJD1" s="383"/>
      <c r="JJE1" s="383"/>
      <c r="JJF1" s="383"/>
      <c r="JJG1" s="383"/>
      <c r="JJH1" s="383"/>
      <c r="JJI1" s="383"/>
      <c r="JJJ1" s="383"/>
      <c r="JJK1" s="383"/>
      <c r="JJL1" s="383"/>
      <c r="JJM1" s="383"/>
      <c r="JJN1" s="383"/>
      <c r="JJO1" s="383"/>
      <c r="JJP1" s="383"/>
      <c r="JJQ1" s="383"/>
      <c r="JJR1" s="383"/>
      <c r="JJS1" s="383"/>
      <c r="JJT1" s="383"/>
      <c r="JJU1" s="383"/>
      <c r="JJV1" s="383"/>
      <c r="JJW1" s="383"/>
      <c r="JJX1" s="383"/>
      <c r="JJY1" s="383"/>
      <c r="JJZ1" s="383"/>
      <c r="JKA1" s="383"/>
      <c r="JKB1" s="383"/>
      <c r="JKC1" s="383"/>
      <c r="JKD1" s="383"/>
      <c r="JKE1" s="383"/>
      <c r="JKF1" s="383"/>
      <c r="JKG1" s="383"/>
      <c r="JKH1" s="383"/>
      <c r="JKI1" s="383"/>
      <c r="JKJ1" s="383"/>
      <c r="JKK1" s="383"/>
      <c r="JKL1" s="383"/>
      <c r="JKM1" s="383"/>
      <c r="JKN1" s="383"/>
      <c r="JKO1" s="383"/>
      <c r="JKP1" s="383"/>
      <c r="JKQ1" s="383"/>
      <c r="JKR1" s="383"/>
      <c r="JKS1" s="383"/>
      <c r="JKT1" s="383"/>
      <c r="JKU1" s="383"/>
      <c r="JKV1" s="383"/>
      <c r="JKW1" s="383"/>
      <c r="JKX1" s="383"/>
      <c r="JKY1" s="383"/>
      <c r="JKZ1" s="383"/>
      <c r="JLA1" s="383"/>
      <c r="JLB1" s="383"/>
      <c r="JLC1" s="383"/>
      <c r="JLD1" s="383"/>
      <c r="JLE1" s="383"/>
      <c r="JLF1" s="383"/>
      <c r="JLG1" s="383"/>
      <c r="JLH1" s="383"/>
      <c r="JLI1" s="383"/>
      <c r="JLJ1" s="383"/>
      <c r="JLK1" s="383"/>
      <c r="JLL1" s="383"/>
      <c r="JLM1" s="383"/>
      <c r="JLN1" s="383"/>
      <c r="JLO1" s="383"/>
      <c r="JLP1" s="383"/>
      <c r="JLQ1" s="383"/>
      <c r="JLR1" s="383"/>
      <c r="JLS1" s="383"/>
      <c r="JLT1" s="383"/>
      <c r="JLU1" s="383"/>
      <c r="JLV1" s="383"/>
      <c r="JLW1" s="383"/>
      <c r="JLX1" s="383"/>
      <c r="JLY1" s="383"/>
      <c r="JLZ1" s="383"/>
      <c r="JMA1" s="383"/>
      <c r="JMB1" s="383"/>
      <c r="JMC1" s="383"/>
      <c r="JMD1" s="383"/>
      <c r="JME1" s="383"/>
      <c r="JMF1" s="383"/>
      <c r="JMG1" s="383"/>
      <c r="JMH1" s="383"/>
      <c r="JMI1" s="383"/>
      <c r="JMJ1" s="383"/>
      <c r="JMK1" s="383"/>
      <c r="JML1" s="383"/>
      <c r="JMM1" s="383"/>
      <c r="JMN1" s="383"/>
      <c r="JMO1" s="383"/>
      <c r="JMP1" s="383"/>
      <c r="JMQ1" s="383"/>
      <c r="JMR1" s="383"/>
      <c r="JMS1" s="383"/>
      <c r="JMT1" s="383"/>
      <c r="JMU1" s="383"/>
      <c r="JMV1" s="383"/>
      <c r="JMW1" s="383"/>
      <c r="JMX1" s="383"/>
      <c r="JMY1" s="383"/>
      <c r="JMZ1" s="383"/>
      <c r="JNA1" s="383"/>
      <c r="JNB1" s="383"/>
      <c r="JNC1" s="383"/>
      <c r="JND1" s="383"/>
      <c r="JNE1" s="383"/>
      <c r="JNF1" s="383"/>
      <c r="JNG1" s="383"/>
      <c r="JNH1" s="383"/>
      <c r="JNI1" s="383"/>
      <c r="JNJ1" s="383"/>
      <c r="JNK1" s="383"/>
      <c r="JNL1" s="383"/>
      <c r="JNM1" s="383"/>
      <c r="JNN1" s="383"/>
      <c r="JNO1" s="383"/>
      <c r="JNP1" s="383"/>
      <c r="JNQ1" s="383"/>
      <c r="JNR1" s="383"/>
      <c r="JNS1" s="383"/>
      <c r="JNT1" s="383"/>
      <c r="JNU1" s="383"/>
      <c r="JNV1" s="383"/>
      <c r="JNW1" s="383"/>
      <c r="JNX1" s="383"/>
      <c r="JNY1" s="383"/>
      <c r="JNZ1" s="383"/>
      <c r="JOA1" s="383"/>
      <c r="JOB1" s="383"/>
      <c r="JOC1" s="383"/>
      <c r="JOD1" s="383"/>
      <c r="JOE1" s="383"/>
      <c r="JOF1" s="383"/>
      <c r="JOG1" s="383"/>
      <c r="JOH1" s="383"/>
      <c r="JOI1" s="383"/>
      <c r="JOJ1" s="383"/>
      <c r="JOK1" s="383"/>
      <c r="JOL1" s="383"/>
      <c r="JOM1" s="383"/>
      <c r="JON1" s="383"/>
      <c r="JOO1" s="383"/>
      <c r="JOP1" s="383"/>
      <c r="JOQ1" s="383"/>
      <c r="JOR1" s="383"/>
      <c r="JOS1" s="383"/>
      <c r="JOT1" s="383"/>
      <c r="JOU1" s="383"/>
      <c r="JOV1" s="383"/>
      <c r="JOW1" s="383"/>
      <c r="JOX1" s="383"/>
      <c r="JOY1" s="383"/>
      <c r="JOZ1" s="383"/>
      <c r="JPA1" s="383"/>
      <c r="JPB1" s="383"/>
      <c r="JPC1" s="383"/>
      <c r="JPD1" s="383"/>
      <c r="JPE1" s="383"/>
      <c r="JPF1" s="383"/>
      <c r="JPG1" s="383"/>
      <c r="JPH1" s="383"/>
      <c r="JPI1" s="383"/>
      <c r="JPJ1" s="383"/>
      <c r="JPK1" s="383"/>
      <c r="JPL1" s="383"/>
      <c r="JPM1" s="383"/>
      <c r="JPN1" s="383"/>
      <c r="JPO1" s="383"/>
      <c r="JPP1" s="383"/>
      <c r="JPQ1" s="383"/>
      <c r="JPR1" s="383"/>
      <c r="JPS1" s="383"/>
      <c r="JPT1" s="383"/>
      <c r="JPU1" s="383"/>
      <c r="JPV1" s="383"/>
      <c r="JPW1" s="383"/>
      <c r="JPX1" s="383"/>
      <c r="JPY1" s="383"/>
      <c r="JPZ1" s="383"/>
      <c r="JQA1" s="383"/>
      <c r="JQB1" s="383"/>
      <c r="JQC1" s="383"/>
      <c r="JQD1" s="383"/>
      <c r="JQE1" s="383"/>
      <c r="JQF1" s="383"/>
      <c r="JQG1" s="383"/>
      <c r="JQH1" s="383"/>
      <c r="JQI1" s="383"/>
      <c r="JQJ1" s="383"/>
      <c r="JQK1" s="383"/>
      <c r="JQL1" s="383"/>
      <c r="JQM1" s="383"/>
      <c r="JQN1" s="383"/>
      <c r="JQO1" s="383"/>
      <c r="JQP1" s="383"/>
      <c r="JQQ1" s="383"/>
      <c r="JQR1" s="383"/>
      <c r="JQS1" s="383"/>
      <c r="JQT1" s="383"/>
      <c r="JQU1" s="383"/>
      <c r="JQV1" s="383"/>
      <c r="JQW1" s="383"/>
      <c r="JQX1" s="383"/>
      <c r="JQY1" s="383"/>
      <c r="JQZ1" s="383"/>
      <c r="JRA1" s="383"/>
      <c r="JRB1" s="383"/>
      <c r="JRC1" s="383"/>
      <c r="JRD1" s="383"/>
      <c r="JRE1" s="383"/>
      <c r="JRF1" s="383"/>
      <c r="JRG1" s="383"/>
      <c r="JRH1" s="383"/>
      <c r="JRI1" s="383"/>
      <c r="JRJ1" s="383"/>
      <c r="JRK1" s="383"/>
      <c r="JRL1" s="383"/>
      <c r="JRM1" s="383"/>
      <c r="JRN1" s="383"/>
      <c r="JRO1" s="383"/>
      <c r="JRP1" s="383"/>
      <c r="JRQ1" s="383"/>
      <c r="JRR1" s="383"/>
      <c r="JRS1" s="383"/>
      <c r="JRT1" s="383"/>
      <c r="JRU1" s="383"/>
      <c r="JRV1" s="383"/>
      <c r="JRW1" s="383"/>
      <c r="JRX1" s="383"/>
      <c r="JRY1" s="383"/>
      <c r="JRZ1" s="383"/>
      <c r="JSA1" s="383"/>
      <c r="JSB1" s="383"/>
      <c r="JSC1" s="383"/>
      <c r="JSD1" s="383"/>
      <c r="JSE1" s="383"/>
      <c r="JSF1" s="383"/>
      <c r="JSG1" s="383"/>
      <c r="JSH1" s="383"/>
      <c r="JSI1" s="383"/>
      <c r="JSJ1" s="383"/>
      <c r="JSK1" s="383"/>
      <c r="JSL1" s="383"/>
      <c r="JSM1" s="383"/>
      <c r="JSN1" s="383"/>
      <c r="JSO1" s="383"/>
      <c r="JSP1" s="383"/>
      <c r="JSQ1" s="383"/>
      <c r="JSR1" s="383"/>
      <c r="JSS1" s="383"/>
      <c r="JST1" s="383"/>
      <c r="JSU1" s="383"/>
      <c r="JSV1" s="383"/>
      <c r="JSW1" s="383"/>
      <c r="JSX1" s="383"/>
      <c r="JSY1" s="383"/>
      <c r="JSZ1" s="383"/>
      <c r="JTA1" s="383"/>
      <c r="JTB1" s="383"/>
      <c r="JTC1" s="383"/>
      <c r="JTD1" s="383"/>
      <c r="JTE1" s="383"/>
      <c r="JTF1" s="383"/>
      <c r="JTG1" s="383"/>
      <c r="JTH1" s="383"/>
      <c r="JTI1" s="383"/>
      <c r="JTJ1" s="383"/>
      <c r="JTK1" s="383"/>
      <c r="JTL1" s="383"/>
      <c r="JTM1" s="383"/>
      <c r="JTN1" s="383"/>
      <c r="JTO1" s="383"/>
      <c r="JTP1" s="383"/>
      <c r="JTQ1" s="383"/>
      <c r="JTR1" s="383"/>
      <c r="JTS1" s="383"/>
      <c r="JTT1" s="383"/>
      <c r="JTU1" s="383"/>
      <c r="JTV1" s="383"/>
      <c r="JTW1" s="383"/>
      <c r="JTX1" s="383"/>
      <c r="JTY1" s="383"/>
      <c r="JTZ1" s="383"/>
      <c r="JUA1" s="383"/>
      <c r="JUB1" s="383"/>
      <c r="JUC1" s="383"/>
      <c r="JUD1" s="383"/>
      <c r="JUE1" s="383"/>
      <c r="JUF1" s="383"/>
      <c r="JUG1" s="383"/>
      <c r="JUH1" s="383"/>
      <c r="JUI1" s="383"/>
      <c r="JUJ1" s="383"/>
      <c r="JUK1" s="383"/>
      <c r="JUL1" s="383"/>
      <c r="JUM1" s="383"/>
      <c r="JUN1" s="383"/>
      <c r="JUO1" s="383"/>
      <c r="JUP1" s="383"/>
      <c r="JUQ1" s="383"/>
      <c r="JUR1" s="383"/>
      <c r="JUS1" s="383"/>
      <c r="JUT1" s="383"/>
      <c r="JUU1" s="383"/>
      <c r="JUV1" s="383"/>
      <c r="JUW1" s="383"/>
      <c r="JUX1" s="383"/>
      <c r="JUY1" s="383"/>
      <c r="JUZ1" s="383"/>
      <c r="JVA1" s="383"/>
      <c r="JVB1" s="383"/>
      <c r="JVC1" s="383"/>
      <c r="JVD1" s="383"/>
      <c r="JVE1" s="383"/>
      <c r="JVF1" s="383"/>
      <c r="JVG1" s="383"/>
      <c r="JVH1" s="383"/>
      <c r="JVI1" s="383"/>
      <c r="JVJ1" s="383"/>
      <c r="JVK1" s="383"/>
      <c r="JVL1" s="383"/>
      <c r="JVM1" s="383"/>
      <c r="JVN1" s="383"/>
      <c r="JVO1" s="383"/>
      <c r="JVP1" s="383"/>
      <c r="JVQ1" s="383"/>
      <c r="JVR1" s="383"/>
      <c r="JVS1" s="383"/>
      <c r="JVT1" s="383"/>
      <c r="JVU1" s="383"/>
      <c r="JVV1" s="383"/>
      <c r="JVW1" s="383"/>
      <c r="JVX1" s="383"/>
      <c r="JVY1" s="383"/>
      <c r="JVZ1" s="383"/>
      <c r="JWA1" s="383"/>
      <c r="JWB1" s="383"/>
      <c r="JWC1" s="383"/>
      <c r="JWD1" s="383"/>
      <c r="JWE1" s="383"/>
      <c r="JWF1" s="383"/>
      <c r="JWG1" s="383"/>
      <c r="JWH1" s="383"/>
      <c r="JWI1" s="383"/>
      <c r="JWJ1" s="383"/>
      <c r="JWK1" s="383"/>
      <c r="JWL1" s="383"/>
      <c r="JWM1" s="383"/>
      <c r="JWN1" s="383"/>
      <c r="JWO1" s="383"/>
      <c r="JWP1" s="383"/>
      <c r="JWQ1" s="383"/>
      <c r="JWR1" s="383"/>
      <c r="JWS1" s="383"/>
      <c r="JWT1" s="383"/>
      <c r="JWU1" s="383"/>
      <c r="JWV1" s="383"/>
      <c r="JWW1" s="383"/>
      <c r="JWX1" s="383"/>
      <c r="JWY1" s="383"/>
      <c r="JWZ1" s="383"/>
      <c r="JXA1" s="383"/>
      <c r="JXB1" s="383"/>
      <c r="JXC1" s="383"/>
      <c r="JXD1" s="383"/>
      <c r="JXE1" s="383"/>
      <c r="JXF1" s="383"/>
      <c r="JXG1" s="383"/>
      <c r="JXH1" s="383"/>
      <c r="JXI1" s="383"/>
      <c r="JXJ1" s="383"/>
      <c r="JXK1" s="383"/>
      <c r="JXL1" s="383"/>
      <c r="JXM1" s="383"/>
      <c r="JXN1" s="383"/>
      <c r="JXO1" s="383"/>
      <c r="JXP1" s="383"/>
      <c r="JXQ1" s="383"/>
      <c r="JXR1" s="383"/>
      <c r="JXS1" s="383"/>
      <c r="JXT1" s="383"/>
      <c r="JXU1" s="383"/>
      <c r="JXV1" s="383"/>
      <c r="JXW1" s="383"/>
      <c r="JXX1" s="383"/>
      <c r="JXY1" s="383"/>
      <c r="JXZ1" s="383"/>
      <c r="JYA1" s="383"/>
      <c r="JYB1" s="383"/>
      <c r="JYC1" s="383"/>
      <c r="JYD1" s="383"/>
      <c r="JYE1" s="383"/>
      <c r="JYF1" s="383"/>
      <c r="JYG1" s="383"/>
      <c r="JYH1" s="383"/>
      <c r="JYI1" s="383"/>
      <c r="JYJ1" s="383"/>
      <c r="JYK1" s="383"/>
      <c r="JYL1" s="383"/>
      <c r="JYM1" s="383"/>
      <c r="JYN1" s="383"/>
      <c r="JYO1" s="383"/>
      <c r="JYP1" s="383"/>
      <c r="JYQ1" s="383"/>
      <c r="JYR1" s="383"/>
      <c r="JYS1" s="383"/>
      <c r="JYT1" s="383"/>
      <c r="JYU1" s="383"/>
      <c r="JYV1" s="383"/>
      <c r="JYW1" s="383"/>
      <c r="JYX1" s="383"/>
      <c r="JYY1" s="383"/>
      <c r="JYZ1" s="383"/>
      <c r="JZA1" s="383"/>
      <c r="JZB1" s="383"/>
      <c r="JZC1" s="383"/>
      <c r="JZD1" s="383"/>
      <c r="JZE1" s="383"/>
      <c r="JZF1" s="383"/>
      <c r="JZG1" s="383"/>
      <c r="JZH1" s="383"/>
      <c r="JZI1" s="383"/>
      <c r="JZJ1" s="383"/>
      <c r="JZK1" s="383"/>
      <c r="JZL1" s="383"/>
      <c r="JZM1" s="383"/>
      <c r="JZN1" s="383"/>
      <c r="JZO1" s="383"/>
      <c r="JZP1" s="383"/>
      <c r="JZQ1" s="383"/>
      <c r="JZR1" s="383"/>
      <c r="JZS1" s="383"/>
      <c r="JZT1" s="383"/>
      <c r="JZU1" s="383"/>
      <c r="JZV1" s="383"/>
      <c r="JZW1" s="383"/>
      <c r="JZX1" s="383"/>
      <c r="JZY1" s="383"/>
      <c r="JZZ1" s="383"/>
      <c r="KAA1" s="383"/>
      <c r="KAB1" s="383"/>
      <c r="KAC1" s="383"/>
      <c r="KAD1" s="383"/>
      <c r="KAE1" s="383"/>
      <c r="KAF1" s="383"/>
      <c r="KAG1" s="383"/>
      <c r="KAH1" s="383"/>
      <c r="KAI1" s="383"/>
      <c r="KAJ1" s="383"/>
      <c r="KAK1" s="383"/>
      <c r="KAL1" s="383"/>
      <c r="KAM1" s="383"/>
      <c r="KAN1" s="383"/>
      <c r="KAO1" s="383"/>
      <c r="KAP1" s="383"/>
      <c r="KAQ1" s="383"/>
      <c r="KAR1" s="383"/>
      <c r="KAS1" s="383"/>
      <c r="KAT1" s="383"/>
      <c r="KAU1" s="383"/>
      <c r="KAV1" s="383"/>
      <c r="KAW1" s="383"/>
      <c r="KAX1" s="383"/>
      <c r="KAY1" s="383"/>
      <c r="KAZ1" s="383"/>
      <c r="KBA1" s="383"/>
      <c r="KBB1" s="383"/>
      <c r="KBC1" s="383"/>
      <c r="KBD1" s="383"/>
      <c r="KBE1" s="383"/>
      <c r="KBF1" s="383"/>
      <c r="KBG1" s="383"/>
      <c r="KBH1" s="383"/>
      <c r="KBI1" s="383"/>
      <c r="KBJ1" s="383"/>
      <c r="KBK1" s="383"/>
      <c r="KBL1" s="383"/>
      <c r="KBM1" s="383"/>
      <c r="KBN1" s="383"/>
      <c r="KBO1" s="383"/>
      <c r="KBP1" s="383"/>
      <c r="KBQ1" s="383"/>
      <c r="KBR1" s="383"/>
      <c r="KBS1" s="383"/>
      <c r="KBT1" s="383"/>
      <c r="KBU1" s="383"/>
      <c r="KBV1" s="383"/>
      <c r="KBW1" s="383"/>
      <c r="KBX1" s="383"/>
      <c r="KBY1" s="383"/>
      <c r="KBZ1" s="383"/>
      <c r="KCA1" s="383"/>
      <c r="KCB1" s="383"/>
      <c r="KCC1" s="383"/>
      <c r="KCD1" s="383"/>
      <c r="KCE1" s="383"/>
      <c r="KCF1" s="383"/>
      <c r="KCG1" s="383"/>
      <c r="KCH1" s="383"/>
      <c r="KCI1" s="383"/>
      <c r="KCJ1" s="383"/>
      <c r="KCK1" s="383"/>
      <c r="KCL1" s="383"/>
      <c r="KCM1" s="383"/>
      <c r="KCN1" s="383"/>
      <c r="KCO1" s="383"/>
      <c r="KCP1" s="383"/>
      <c r="KCQ1" s="383"/>
      <c r="KCR1" s="383"/>
      <c r="KCS1" s="383"/>
      <c r="KCT1" s="383"/>
      <c r="KCU1" s="383"/>
      <c r="KCV1" s="383"/>
      <c r="KCW1" s="383"/>
      <c r="KCX1" s="383"/>
      <c r="KCY1" s="383"/>
      <c r="KCZ1" s="383"/>
      <c r="KDA1" s="383"/>
      <c r="KDB1" s="383"/>
      <c r="KDC1" s="383"/>
      <c r="KDD1" s="383"/>
      <c r="KDE1" s="383"/>
      <c r="KDF1" s="383"/>
      <c r="KDG1" s="383"/>
      <c r="KDH1" s="383"/>
      <c r="KDI1" s="383"/>
      <c r="KDJ1" s="383"/>
      <c r="KDK1" s="383"/>
      <c r="KDL1" s="383"/>
      <c r="KDM1" s="383"/>
      <c r="KDN1" s="383"/>
      <c r="KDO1" s="383"/>
      <c r="KDP1" s="383"/>
      <c r="KDQ1" s="383"/>
      <c r="KDR1" s="383"/>
      <c r="KDS1" s="383"/>
      <c r="KDT1" s="383"/>
      <c r="KDU1" s="383"/>
      <c r="KDV1" s="383"/>
      <c r="KDW1" s="383"/>
      <c r="KDX1" s="383"/>
      <c r="KDY1" s="383"/>
      <c r="KDZ1" s="383"/>
      <c r="KEA1" s="383"/>
      <c r="KEB1" s="383"/>
      <c r="KEC1" s="383"/>
      <c r="KED1" s="383"/>
      <c r="KEE1" s="383"/>
      <c r="KEF1" s="383"/>
      <c r="KEG1" s="383"/>
      <c r="KEH1" s="383"/>
      <c r="KEI1" s="383"/>
      <c r="KEJ1" s="383"/>
      <c r="KEK1" s="383"/>
      <c r="KEL1" s="383"/>
      <c r="KEM1" s="383"/>
      <c r="KEN1" s="383"/>
      <c r="KEO1" s="383"/>
      <c r="KEP1" s="383"/>
      <c r="KEQ1" s="383"/>
      <c r="KER1" s="383"/>
      <c r="KES1" s="383"/>
      <c r="KET1" s="383"/>
      <c r="KEU1" s="383"/>
      <c r="KEV1" s="383"/>
      <c r="KEW1" s="383"/>
      <c r="KEX1" s="383"/>
      <c r="KEY1" s="383"/>
      <c r="KEZ1" s="383"/>
      <c r="KFA1" s="383"/>
      <c r="KFB1" s="383"/>
      <c r="KFC1" s="383"/>
      <c r="KFD1" s="383"/>
      <c r="KFE1" s="383"/>
      <c r="KFF1" s="383"/>
      <c r="KFG1" s="383"/>
      <c r="KFH1" s="383"/>
      <c r="KFI1" s="383"/>
      <c r="KFJ1" s="383"/>
      <c r="KFK1" s="383"/>
      <c r="KFL1" s="383"/>
      <c r="KFM1" s="383"/>
      <c r="KFN1" s="383"/>
      <c r="KFO1" s="383"/>
      <c r="KFP1" s="383"/>
      <c r="KFQ1" s="383"/>
      <c r="KFR1" s="383"/>
      <c r="KFS1" s="383"/>
      <c r="KFT1" s="383"/>
      <c r="KFU1" s="383"/>
      <c r="KFV1" s="383"/>
      <c r="KFW1" s="383"/>
      <c r="KFX1" s="383"/>
      <c r="KFY1" s="383"/>
      <c r="KFZ1" s="383"/>
      <c r="KGA1" s="383"/>
      <c r="KGB1" s="383"/>
      <c r="KGC1" s="383"/>
      <c r="KGD1" s="383"/>
      <c r="KGE1" s="383"/>
      <c r="KGF1" s="383"/>
      <c r="KGG1" s="383"/>
      <c r="KGH1" s="383"/>
      <c r="KGI1" s="383"/>
      <c r="KGJ1" s="383"/>
      <c r="KGK1" s="383"/>
      <c r="KGL1" s="383"/>
      <c r="KGM1" s="383"/>
      <c r="KGN1" s="383"/>
      <c r="KGO1" s="383"/>
      <c r="KGP1" s="383"/>
      <c r="KGQ1" s="383"/>
      <c r="KGR1" s="383"/>
      <c r="KGS1" s="383"/>
      <c r="KGT1" s="383"/>
      <c r="KGU1" s="383"/>
      <c r="KGV1" s="383"/>
      <c r="KGW1" s="383"/>
      <c r="KGX1" s="383"/>
      <c r="KGY1" s="383"/>
      <c r="KGZ1" s="383"/>
      <c r="KHA1" s="383"/>
      <c r="KHB1" s="383"/>
      <c r="KHC1" s="383"/>
      <c r="KHD1" s="383"/>
      <c r="KHE1" s="383"/>
      <c r="KHF1" s="383"/>
      <c r="KHG1" s="383"/>
      <c r="KHH1" s="383"/>
      <c r="KHI1" s="383"/>
      <c r="KHJ1" s="383"/>
      <c r="KHK1" s="383"/>
      <c r="KHL1" s="383"/>
      <c r="KHM1" s="383"/>
      <c r="KHN1" s="383"/>
      <c r="KHO1" s="383"/>
      <c r="KHP1" s="383"/>
      <c r="KHQ1" s="383"/>
      <c r="KHR1" s="383"/>
      <c r="KHS1" s="383"/>
      <c r="KHT1" s="383"/>
      <c r="KHU1" s="383"/>
      <c r="KHV1" s="383"/>
      <c r="KHW1" s="383"/>
      <c r="KHX1" s="383"/>
      <c r="KHY1" s="383"/>
      <c r="KHZ1" s="383"/>
      <c r="KIA1" s="383"/>
      <c r="KIB1" s="383"/>
      <c r="KIC1" s="383"/>
      <c r="KID1" s="383"/>
      <c r="KIE1" s="383"/>
      <c r="KIF1" s="383"/>
      <c r="KIG1" s="383"/>
      <c r="KIH1" s="383"/>
      <c r="KII1" s="383"/>
      <c r="KIJ1" s="383"/>
      <c r="KIK1" s="383"/>
      <c r="KIL1" s="383"/>
      <c r="KIM1" s="383"/>
      <c r="KIN1" s="383"/>
      <c r="KIO1" s="383"/>
      <c r="KIP1" s="383"/>
      <c r="KIQ1" s="383"/>
      <c r="KIR1" s="383"/>
      <c r="KIS1" s="383"/>
      <c r="KIT1" s="383"/>
      <c r="KIU1" s="383"/>
      <c r="KIV1" s="383"/>
      <c r="KIW1" s="383"/>
      <c r="KIX1" s="383"/>
      <c r="KIY1" s="383"/>
      <c r="KIZ1" s="383"/>
      <c r="KJA1" s="383"/>
      <c r="KJB1" s="383"/>
      <c r="KJC1" s="383"/>
      <c r="KJD1" s="383"/>
      <c r="KJE1" s="383"/>
      <c r="KJF1" s="383"/>
      <c r="KJG1" s="383"/>
      <c r="KJH1" s="383"/>
      <c r="KJI1" s="383"/>
      <c r="KJJ1" s="383"/>
      <c r="KJK1" s="383"/>
      <c r="KJL1" s="383"/>
      <c r="KJM1" s="383"/>
      <c r="KJN1" s="383"/>
      <c r="KJO1" s="383"/>
      <c r="KJP1" s="383"/>
      <c r="KJQ1" s="383"/>
      <c r="KJR1" s="383"/>
      <c r="KJS1" s="383"/>
      <c r="KJT1" s="383"/>
      <c r="KJU1" s="383"/>
      <c r="KJV1" s="383"/>
      <c r="KJW1" s="383"/>
      <c r="KJX1" s="383"/>
      <c r="KJY1" s="383"/>
      <c r="KJZ1" s="383"/>
      <c r="KKA1" s="383"/>
      <c r="KKB1" s="383"/>
      <c r="KKC1" s="383"/>
      <c r="KKD1" s="383"/>
      <c r="KKE1" s="383"/>
      <c r="KKF1" s="383"/>
      <c r="KKG1" s="383"/>
      <c r="KKH1" s="383"/>
      <c r="KKI1" s="383"/>
      <c r="KKJ1" s="383"/>
      <c r="KKK1" s="383"/>
      <c r="KKL1" s="383"/>
      <c r="KKM1" s="383"/>
      <c r="KKN1" s="383"/>
      <c r="KKO1" s="383"/>
      <c r="KKP1" s="383"/>
      <c r="KKQ1" s="383"/>
      <c r="KKR1" s="383"/>
      <c r="KKS1" s="383"/>
      <c r="KKT1" s="383"/>
      <c r="KKU1" s="383"/>
      <c r="KKV1" s="383"/>
      <c r="KKW1" s="383"/>
      <c r="KKX1" s="383"/>
      <c r="KKY1" s="383"/>
      <c r="KKZ1" s="383"/>
      <c r="KLA1" s="383"/>
      <c r="KLB1" s="383"/>
      <c r="KLC1" s="383"/>
      <c r="KLD1" s="383"/>
      <c r="KLE1" s="383"/>
      <c r="KLF1" s="383"/>
      <c r="KLG1" s="383"/>
      <c r="KLH1" s="383"/>
      <c r="KLI1" s="383"/>
      <c r="KLJ1" s="383"/>
      <c r="KLK1" s="383"/>
      <c r="KLL1" s="383"/>
      <c r="KLM1" s="383"/>
      <c r="KLN1" s="383"/>
      <c r="KLO1" s="383"/>
      <c r="KLP1" s="383"/>
      <c r="KLQ1" s="383"/>
      <c r="KLR1" s="383"/>
      <c r="KLS1" s="383"/>
      <c r="KLT1" s="383"/>
      <c r="KLU1" s="383"/>
      <c r="KLV1" s="383"/>
      <c r="KLW1" s="383"/>
      <c r="KLX1" s="383"/>
      <c r="KLY1" s="383"/>
      <c r="KLZ1" s="383"/>
      <c r="KMA1" s="383"/>
      <c r="KMB1" s="383"/>
      <c r="KMC1" s="383"/>
      <c r="KMD1" s="383"/>
      <c r="KME1" s="383"/>
      <c r="KMF1" s="383"/>
      <c r="KMG1" s="383"/>
      <c r="KMH1" s="383"/>
      <c r="KMI1" s="383"/>
      <c r="KMJ1" s="383"/>
      <c r="KMK1" s="383"/>
      <c r="KML1" s="383"/>
      <c r="KMM1" s="383"/>
      <c r="KMN1" s="383"/>
      <c r="KMO1" s="383"/>
      <c r="KMP1" s="383"/>
      <c r="KMQ1" s="383"/>
      <c r="KMR1" s="383"/>
      <c r="KMS1" s="383"/>
      <c r="KMT1" s="383"/>
      <c r="KMU1" s="383"/>
      <c r="KMV1" s="383"/>
      <c r="KMW1" s="383"/>
      <c r="KMX1" s="383"/>
      <c r="KMY1" s="383"/>
      <c r="KMZ1" s="383"/>
      <c r="KNA1" s="383"/>
      <c r="KNB1" s="383"/>
      <c r="KNC1" s="383"/>
      <c r="KND1" s="383"/>
      <c r="KNE1" s="383"/>
      <c r="KNF1" s="383"/>
      <c r="KNG1" s="383"/>
      <c r="KNH1" s="383"/>
      <c r="KNI1" s="383"/>
      <c r="KNJ1" s="383"/>
      <c r="KNK1" s="383"/>
      <c r="KNL1" s="383"/>
      <c r="KNM1" s="383"/>
      <c r="KNN1" s="383"/>
      <c r="KNO1" s="383"/>
      <c r="KNP1" s="383"/>
      <c r="KNQ1" s="383"/>
      <c r="KNR1" s="383"/>
      <c r="KNS1" s="383"/>
      <c r="KNT1" s="383"/>
      <c r="KNU1" s="383"/>
      <c r="KNV1" s="383"/>
      <c r="KNW1" s="383"/>
      <c r="KNX1" s="383"/>
      <c r="KNY1" s="383"/>
      <c r="KNZ1" s="383"/>
      <c r="KOA1" s="383"/>
      <c r="KOB1" s="383"/>
      <c r="KOC1" s="383"/>
      <c r="KOD1" s="383"/>
      <c r="KOE1" s="383"/>
      <c r="KOF1" s="383"/>
      <c r="KOG1" s="383"/>
      <c r="KOH1" s="383"/>
      <c r="KOI1" s="383"/>
      <c r="KOJ1" s="383"/>
      <c r="KOK1" s="383"/>
      <c r="KOL1" s="383"/>
      <c r="KOM1" s="383"/>
      <c r="KON1" s="383"/>
      <c r="KOO1" s="383"/>
      <c r="KOP1" s="383"/>
      <c r="KOQ1" s="383"/>
      <c r="KOR1" s="383"/>
      <c r="KOS1" s="383"/>
      <c r="KOT1" s="383"/>
      <c r="KOU1" s="383"/>
      <c r="KOV1" s="383"/>
      <c r="KOW1" s="383"/>
      <c r="KOX1" s="383"/>
      <c r="KOY1" s="383"/>
      <c r="KOZ1" s="383"/>
      <c r="KPA1" s="383"/>
      <c r="KPB1" s="383"/>
      <c r="KPC1" s="383"/>
      <c r="KPD1" s="383"/>
      <c r="KPE1" s="383"/>
      <c r="KPF1" s="383"/>
      <c r="KPG1" s="383"/>
      <c r="KPH1" s="383"/>
      <c r="KPI1" s="383"/>
      <c r="KPJ1" s="383"/>
      <c r="KPK1" s="383"/>
      <c r="KPL1" s="383"/>
      <c r="KPM1" s="383"/>
      <c r="KPN1" s="383"/>
      <c r="KPO1" s="383"/>
      <c r="KPP1" s="383"/>
      <c r="KPQ1" s="383"/>
      <c r="KPR1" s="383"/>
      <c r="KPS1" s="383"/>
      <c r="KPT1" s="383"/>
      <c r="KPU1" s="383"/>
      <c r="KPV1" s="383"/>
      <c r="KPW1" s="383"/>
      <c r="KPX1" s="383"/>
      <c r="KPY1" s="383"/>
      <c r="KPZ1" s="383"/>
      <c r="KQA1" s="383"/>
      <c r="KQB1" s="383"/>
      <c r="KQC1" s="383"/>
      <c r="KQD1" s="383"/>
      <c r="KQE1" s="383"/>
      <c r="KQF1" s="383"/>
      <c r="KQG1" s="383"/>
      <c r="KQH1" s="383"/>
      <c r="KQI1" s="383"/>
      <c r="KQJ1" s="383"/>
      <c r="KQK1" s="383"/>
      <c r="KQL1" s="383"/>
      <c r="KQM1" s="383"/>
      <c r="KQN1" s="383"/>
      <c r="KQO1" s="383"/>
      <c r="KQP1" s="383"/>
      <c r="KQQ1" s="383"/>
      <c r="KQR1" s="383"/>
      <c r="KQS1" s="383"/>
      <c r="KQT1" s="383"/>
      <c r="KQU1" s="383"/>
      <c r="KQV1" s="383"/>
      <c r="KQW1" s="383"/>
      <c r="KQX1" s="383"/>
      <c r="KQY1" s="383"/>
      <c r="KQZ1" s="383"/>
      <c r="KRA1" s="383"/>
      <c r="KRB1" s="383"/>
      <c r="KRC1" s="383"/>
      <c r="KRD1" s="383"/>
      <c r="KRE1" s="383"/>
      <c r="KRF1" s="383"/>
      <c r="KRG1" s="383"/>
      <c r="KRH1" s="383"/>
      <c r="KRI1" s="383"/>
      <c r="KRJ1" s="383"/>
      <c r="KRK1" s="383"/>
      <c r="KRL1" s="383"/>
      <c r="KRM1" s="383"/>
      <c r="KRN1" s="383"/>
      <c r="KRO1" s="383"/>
      <c r="KRP1" s="383"/>
      <c r="KRQ1" s="383"/>
      <c r="KRR1" s="383"/>
      <c r="KRS1" s="383"/>
      <c r="KRT1" s="383"/>
      <c r="KRU1" s="383"/>
      <c r="KRV1" s="383"/>
      <c r="KRW1" s="383"/>
      <c r="KRX1" s="383"/>
      <c r="KRY1" s="383"/>
      <c r="KRZ1" s="383"/>
      <c r="KSA1" s="383"/>
      <c r="KSB1" s="383"/>
      <c r="KSC1" s="383"/>
      <c r="KSD1" s="383"/>
      <c r="KSE1" s="383"/>
      <c r="KSF1" s="383"/>
      <c r="KSG1" s="383"/>
      <c r="KSH1" s="383"/>
      <c r="KSI1" s="383"/>
      <c r="KSJ1" s="383"/>
      <c r="KSK1" s="383"/>
      <c r="KSL1" s="383"/>
      <c r="KSM1" s="383"/>
      <c r="KSN1" s="383"/>
      <c r="KSO1" s="383"/>
      <c r="KSP1" s="383"/>
      <c r="KSQ1" s="383"/>
      <c r="KSR1" s="383"/>
      <c r="KSS1" s="383"/>
      <c r="KST1" s="383"/>
      <c r="KSU1" s="383"/>
      <c r="KSV1" s="383"/>
      <c r="KSW1" s="383"/>
      <c r="KSX1" s="383"/>
      <c r="KSY1" s="383"/>
      <c r="KSZ1" s="383"/>
      <c r="KTA1" s="383"/>
      <c r="KTB1" s="383"/>
      <c r="KTC1" s="383"/>
      <c r="KTD1" s="383"/>
      <c r="KTE1" s="383"/>
      <c r="KTF1" s="383"/>
      <c r="KTG1" s="383"/>
      <c r="KTH1" s="383"/>
      <c r="KTI1" s="383"/>
      <c r="KTJ1" s="383"/>
      <c r="KTK1" s="383"/>
      <c r="KTL1" s="383"/>
      <c r="KTM1" s="383"/>
      <c r="KTN1" s="383"/>
      <c r="KTO1" s="383"/>
      <c r="KTP1" s="383"/>
      <c r="KTQ1" s="383"/>
      <c r="KTR1" s="383"/>
      <c r="KTS1" s="383"/>
      <c r="KTT1" s="383"/>
      <c r="KTU1" s="383"/>
      <c r="KTV1" s="383"/>
      <c r="KTW1" s="383"/>
      <c r="KTX1" s="383"/>
      <c r="KTY1" s="383"/>
      <c r="KTZ1" s="383"/>
      <c r="KUA1" s="383"/>
      <c r="KUB1" s="383"/>
      <c r="KUC1" s="383"/>
      <c r="KUD1" s="383"/>
      <c r="KUE1" s="383"/>
      <c r="KUF1" s="383"/>
      <c r="KUG1" s="383"/>
      <c r="KUH1" s="383"/>
      <c r="KUI1" s="383"/>
      <c r="KUJ1" s="383"/>
      <c r="KUK1" s="383"/>
      <c r="KUL1" s="383"/>
      <c r="KUM1" s="383"/>
      <c r="KUN1" s="383"/>
      <c r="KUO1" s="383"/>
      <c r="KUP1" s="383"/>
      <c r="KUQ1" s="383"/>
      <c r="KUR1" s="383"/>
      <c r="KUS1" s="383"/>
      <c r="KUT1" s="383"/>
      <c r="KUU1" s="383"/>
      <c r="KUV1" s="383"/>
      <c r="KUW1" s="383"/>
      <c r="KUX1" s="383"/>
      <c r="KUY1" s="383"/>
      <c r="KUZ1" s="383"/>
      <c r="KVA1" s="383"/>
      <c r="KVB1" s="383"/>
      <c r="KVC1" s="383"/>
      <c r="KVD1" s="383"/>
      <c r="KVE1" s="383"/>
      <c r="KVF1" s="383"/>
      <c r="KVG1" s="383"/>
      <c r="KVH1" s="383"/>
      <c r="KVI1" s="383"/>
      <c r="KVJ1" s="383"/>
      <c r="KVK1" s="383"/>
      <c r="KVL1" s="383"/>
      <c r="KVM1" s="383"/>
      <c r="KVN1" s="383"/>
      <c r="KVO1" s="383"/>
      <c r="KVP1" s="383"/>
      <c r="KVQ1" s="383"/>
      <c r="KVR1" s="383"/>
      <c r="KVS1" s="383"/>
      <c r="KVT1" s="383"/>
      <c r="KVU1" s="383"/>
      <c r="KVV1" s="383"/>
      <c r="KVW1" s="383"/>
      <c r="KVX1" s="383"/>
      <c r="KVY1" s="383"/>
      <c r="KVZ1" s="383"/>
      <c r="KWA1" s="383"/>
      <c r="KWB1" s="383"/>
      <c r="KWC1" s="383"/>
      <c r="KWD1" s="383"/>
      <c r="KWE1" s="383"/>
      <c r="KWF1" s="383"/>
      <c r="KWG1" s="383"/>
      <c r="KWH1" s="383"/>
      <c r="KWI1" s="383"/>
      <c r="KWJ1" s="383"/>
      <c r="KWK1" s="383"/>
      <c r="KWL1" s="383"/>
      <c r="KWM1" s="383"/>
      <c r="KWN1" s="383"/>
      <c r="KWO1" s="383"/>
      <c r="KWP1" s="383"/>
      <c r="KWQ1" s="383"/>
      <c r="KWR1" s="383"/>
      <c r="KWS1" s="383"/>
      <c r="KWT1" s="383"/>
      <c r="KWU1" s="383"/>
      <c r="KWV1" s="383"/>
      <c r="KWW1" s="383"/>
      <c r="KWX1" s="383"/>
      <c r="KWY1" s="383"/>
      <c r="KWZ1" s="383"/>
      <c r="KXA1" s="383"/>
      <c r="KXB1" s="383"/>
      <c r="KXC1" s="383"/>
      <c r="KXD1" s="383"/>
      <c r="KXE1" s="383"/>
      <c r="KXF1" s="383"/>
      <c r="KXG1" s="383"/>
      <c r="KXH1" s="383"/>
      <c r="KXI1" s="383"/>
      <c r="KXJ1" s="383"/>
      <c r="KXK1" s="383"/>
      <c r="KXL1" s="383"/>
      <c r="KXM1" s="383"/>
      <c r="KXN1" s="383"/>
      <c r="KXO1" s="383"/>
      <c r="KXP1" s="383"/>
      <c r="KXQ1" s="383"/>
      <c r="KXR1" s="383"/>
      <c r="KXS1" s="383"/>
      <c r="KXT1" s="383"/>
      <c r="KXU1" s="383"/>
      <c r="KXV1" s="383"/>
      <c r="KXW1" s="383"/>
      <c r="KXX1" s="383"/>
      <c r="KXY1" s="383"/>
      <c r="KXZ1" s="383"/>
      <c r="KYA1" s="383"/>
      <c r="KYB1" s="383"/>
      <c r="KYC1" s="383"/>
      <c r="KYD1" s="383"/>
      <c r="KYE1" s="383"/>
      <c r="KYF1" s="383"/>
      <c r="KYG1" s="383"/>
      <c r="KYH1" s="383"/>
      <c r="KYI1" s="383"/>
      <c r="KYJ1" s="383"/>
      <c r="KYK1" s="383"/>
      <c r="KYL1" s="383"/>
      <c r="KYM1" s="383"/>
      <c r="KYN1" s="383"/>
      <c r="KYO1" s="383"/>
      <c r="KYP1" s="383"/>
      <c r="KYQ1" s="383"/>
      <c r="KYR1" s="383"/>
      <c r="KYS1" s="383"/>
      <c r="KYT1" s="383"/>
      <c r="KYU1" s="383"/>
      <c r="KYV1" s="383"/>
      <c r="KYW1" s="383"/>
      <c r="KYX1" s="383"/>
      <c r="KYY1" s="383"/>
      <c r="KYZ1" s="383"/>
      <c r="KZA1" s="383"/>
      <c r="KZB1" s="383"/>
      <c r="KZC1" s="383"/>
      <c r="KZD1" s="383"/>
      <c r="KZE1" s="383"/>
      <c r="KZF1" s="383"/>
      <c r="KZG1" s="383"/>
      <c r="KZH1" s="383"/>
      <c r="KZI1" s="383"/>
      <c r="KZJ1" s="383"/>
      <c r="KZK1" s="383"/>
      <c r="KZL1" s="383"/>
      <c r="KZM1" s="383"/>
      <c r="KZN1" s="383"/>
      <c r="KZO1" s="383"/>
      <c r="KZP1" s="383"/>
      <c r="KZQ1" s="383"/>
      <c r="KZR1" s="383"/>
      <c r="KZS1" s="383"/>
      <c r="KZT1" s="383"/>
      <c r="KZU1" s="383"/>
      <c r="KZV1" s="383"/>
      <c r="KZW1" s="383"/>
      <c r="KZX1" s="383"/>
      <c r="KZY1" s="383"/>
      <c r="KZZ1" s="383"/>
      <c r="LAA1" s="383"/>
      <c r="LAB1" s="383"/>
      <c r="LAC1" s="383"/>
      <c r="LAD1" s="383"/>
      <c r="LAE1" s="383"/>
      <c r="LAF1" s="383"/>
      <c r="LAG1" s="383"/>
      <c r="LAH1" s="383"/>
      <c r="LAI1" s="383"/>
      <c r="LAJ1" s="383"/>
      <c r="LAK1" s="383"/>
      <c r="LAL1" s="383"/>
      <c r="LAM1" s="383"/>
      <c r="LAN1" s="383"/>
      <c r="LAO1" s="383"/>
      <c r="LAP1" s="383"/>
      <c r="LAQ1" s="383"/>
      <c r="LAR1" s="383"/>
      <c r="LAS1" s="383"/>
      <c r="LAT1" s="383"/>
      <c r="LAU1" s="383"/>
      <c r="LAV1" s="383"/>
      <c r="LAW1" s="383"/>
      <c r="LAX1" s="383"/>
      <c r="LAY1" s="383"/>
      <c r="LAZ1" s="383"/>
      <c r="LBA1" s="383"/>
      <c r="LBB1" s="383"/>
      <c r="LBC1" s="383"/>
      <c r="LBD1" s="383"/>
      <c r="LBE1" s="383"/>
      <c r="LBF1" s="383"/>
      <c r="LBG1" s="383"/>
      <c r="LBH1" s="383"/>
      <c r="LBI1" s="383"/>
      <c r="LBJ1" s="383"/>
      <c r="LBK1" s="383"/>
      <c r="LBL1" s="383"/>
      <c r="LBM1" s="383"/>
      <c r="LBN1" s="383"/>
      <c r="LBO1" s="383"/>
      <c r="LBP1" s="383"/>
      <c r="LBQ1" s="383"/>
      <c r="LBR1" s="383"/>
      <c r="LBS1" s="383"/>
      <c r="LBT1" s="383"/>
      <c r="LBU1" s="383"/>
      <c r="LBV1" s="383"/>
      <c r="LBW1" s="383"/>
      <c r="LBX1" s="383"/>
      <c r="LBY1" s="383"/>
      <c r="LBZ1" s="383"/>
      <c r="LCA1" s="383"/>
      <c r="LCB1" s="383"/>
      <c r="LCC1" s="383"/>
      <c r="LCD1" s="383"/>
      <c r="LCE1" s="383"/>
      <c r="LCF1" s="383"/>
      <c r="LCG1" s="383"/>
      <c r="LCH1" s="383"/>
      <c r="LCI1" s="383"/>
      <c r="LCJ1" s="383"/>
      <c r="LCK1" s="383"/>
      <c r="LCL1" s="383"/>
      <c r="LCM1" s="383"/>
      <c r="LCN1" s="383"/>
      <c r="LCO1" s="383"/>
      <c r="LCP1" s="383"/>
      <c r="LCQ1" s="383"/>
      <c r="LCR1" s="383"/>
      <c r="LCS1" s="383"/>
      <c r="LCT1" s="383"/>
      <c r="LCU1" s="383"/>
      <c r="LCV1" s="383"/>
      <c r="LCW1" s="383"/>
      <c r="LCX1" s="383"/>
      <c r="LCY1" s="383"/>
      <c r="LCZ1" s="383"/>
      <c r="LDA1" s="383"/>
      <c r="LDB1" s="383"/>
      <c r="LDC1" s="383"/>
      <c r="LDD1" s="383"/>
      <c r="LDE1" s="383"/>
      <c r="LDF1" s="383"/>
      <c r="LDG1" s="383"/>
      <c r="LDH1" s="383"/>
      <c r="LDI1" s="383"/>
      <c r="LDJ1" s="383"/>
      <c r="LDK1" s="383"/>
      <c r="LDL1" s="383"/>
      <c r="LDM1" s="383"/>
      <c r="LDN1" s="383"/>
      <c r="LDO1" s="383"/>
      <c r="LDP1" s="383"/>
      <c r="LDQ1" s="383"/>
      <c r="LDR1" s="383"/>
      <c r="LDS1" s="383"/>
      <c r="LDT1" s="383"/>
      <c r="LDU1" s="383"/>
      <c r="LDV1" s="383"/>
      <c r="LDW1" s="383"/>
      <c r="LDX1" s="383"/>
      <c r="LDY1" s="383"/>
      <c r="LDZ1" s="383"/>
      <c r="LEA1" s="383"/>
      <c r="LEB1" s="383"/>
      <c r="LEC1" s="383"/>
      <c r="LED1" s="383"/>
      <c r="LEE1" s="383"/>
      <c r="LEF1" s="383"/>
      <c r="LEG1" s="383"/>
      <c r="LEH1" s="383"/>
      <c r="LEI1" s="383"/>
      <c r="LEJ1" s="383"/>
      <c r="LEK1" s="383"/>
      <c r="LEL1" s="383"/>
      <c r="LEM1" s="383"/>
      <c r="LEN1" s="383"/>
      <c r="LEO1" s="383"/>
      <c r="LEP1" s="383"/>
      <c r="LEQ1" s="383"/>
      <c r="LER1" s="383"/>
      <c r="LES1" s="383"/>
      <c r="LET1" s="383"/>
      <c r="LEU1" s="383"/>
      <c r="LEV1" s="383"/>
      <c r="LEW1" s="383"/>
      <c r="LEX1" s="383"/>
      <c r="LEY1" s="383"/>
      <c r="LEZ1" s="383"/>
      <c r="LFA1" s="383"/>
      <c r="LFB1" s="383"/>
      <c r="LFC1" s="383"/>
      <c r="LFD1" s="383"/>
      <c r="LFE1" s="383"/>
      <c r="LFF1" s="383"/>
      <c r="LFG1" s="383"/>
      <c r="LFH1" s="383"/>
      <c r="LFI1" s="383"/>
      <c r="LFJ1" s="383"/>
      <c r="LFK1" s="383"/>
      <c r="LFL1" s="383"/>
      <c r="LFM1" s="383"/>
      <c r="LFN1" s="383"/>
      <c r="LFO1" s="383"/>
      <c r="LFP1" s="383"/>
      <c r="LFQ1" s="383"/>
      <c r="LFR1" s="383"/>
      <c r="LFS1" s="383"/>
      <c r="LFT1" s="383"/>
      <c r="LFU1" s="383"/>
      <c r="LFV1" s="383"/>
      <c r="LFW1" s="383"/>
      <c r="LFX1" s="383"/>
      <c r="LFY1" s="383"/>
      <c r="LFZ1" s="383"/>
      <c r="LGA1" s="383"/>
      <c r="LGB1" s="383"/>
      <c r="LGC1" s="383"/>
      <c r="LGD1" s="383"/>
      <c r="LGE1" s="383"/>
      <c r="LGF1" s="383"/>
      <c r="LGG1" s="383"/>
      <c r="LGH1" s="383"/>
      <c r="LGI1" s="383"/>
      <c r="LGJ1" s="383"/>
      <c r="LGK1" s="383"/>
      <c r="LGL1" s="383"/>
      <c r="LGM1" s="383"/>
      <c r="LGN1" s="383"/>
      <c r="LGO1" s="383"/>
      <c r="LGP1" s="383"/>
      <c r="LGQ1" s="383"/>
      <c r="LGR1" s="383"/>
      <c r="LGS1" s="383"/>
      <c r="LGT1" s="383"/>
      <c r="LGU1" s="383"/>
      <c r="LGV1" s="383"/>
      <c r="LGW1" s="383"/>
      <c r="LGX1" s="383"/>
      <c r="LGY1" s="383"/>
      <c r="LGZ1" s="383"/>
      <c r="LHA1" s="383"/>
      <c r="LHB1" s="383"/>
      <c r="LHC1" s="383"/>
      <c r="LHD1" s="383"/>
      <c r="LHE1" s="383"/>
      <c r="LHF1" s="383"/>
      <c r="LHG1" s="383"/>
      <c r="LHH1" s="383"/>
      <c r="LHI1" s="383"/>
      <c r="LHJ1" s="383"/>
      <c r="LHK1" s="383"/>
      <c r="LHL1" s="383"/>
      <c r="LHM1" s="383"/>
      <c r="LHN1" s="383"/>
      <c r="LHO1" s="383"/>
      <c r="LHP1" s="383"/>
      <c r="LHQ1" s="383"/>
      <c r="LHR1" s="383"/>
      <c r="LHS1" s="383"/>
      <c r="LHT1" s="383"/>
      <c r="LHU1" s="383"/>
      <c r="LHV1" s="383"/>
      <c r="LHW1" s="383"/>
      <c r="LHX1" s="383"/>
      <c r="LHY1" s="383"/>
      <c r="LHZ1" s="383"/>
      <c r="LIA1" s="383"/>
      <c r="LIB1" s="383"/>
      <c r="LIC1" s="383"/>
      <c r="LID1" s="383"/>
      <c r="LIE1" s="383"/>
      <c r="LIF1" s="383"/>
      <c r="LIG1" s="383"/>
      <c r="LIH1" s="383"/>
      <c r="LII1" s="383"/>
      <c r="LIJ1" s="383"/>
      <c r="LIK1" s="383"/>
      <c r="LIL1" s="383"/>
      <c r="LIM1" s="383"/>
      <c r="LIN1" s="383"/>
      <c r="LIO1" s="383"/>
      <c r="LIP1" s="383"/>
      <c r="LIQ1" s="383"/>
      <c r="LIR1" s="383"/>
      <c r="LIS1" s="383"/>
      <c r="LIT1" s="383"/>
      <c r="LIU1" s="383"/>
      <c r="LIV1" s="383"/>
      <c r="LIW1" s="383"/>
      <c r="LIX1" s="383"/>
      <c r="LIY1" s="383"/>
      <c r="LIZ1" s="383"/>
      <c r="LJA1" s="383"/>
      <c r="LJB1" s="383"/>
      <c r="LJC1" s="383"/>
      <c r="LJD1" s="383"/>
      <c r="LJE1" s="383"/>
      <c r="LJF1" s="383"/>
      <c r="LJG1" s="383"/>
      <c r="LJH1" s="383"/>
      <c r="LJI1" s="383"/>
      <c r="LJJ1" s="383"/>
      <c r="LJK1" s="383"/>
      <c r="LJL1" s="383"/>
      <c r="LJM1" s="383"/>
      <c r="LJN1" s="383"/>
      <c r="LJO1" s="383"/>
      <c r="LJP1" s="383"/>
      <c r="LJQ1" s="383"/>
      <c r="LJR1" s="383"/>
      <c r="LJS1" s="383"/>
      <c r="LJT1" s="383"/>
      <c r="LJU1" s="383"/>
      <c r="LJV1" s="383"/>
      <c r="LJW1" s="383"/>
      <c r="LJX1" s="383"/>
      <c r="LJY1" s="383"/>
      <c r="LJZ1" s="383"/>
      <c r="LKA1" s="383"/>
      <c r="LKB1" s="383"/>
      <c r="LKC1" s="383"/>
      <c r="LKD1" s="383"/>
      <c r="LKE1" s="383"/>
      <c r="LKF1" s="383"/>
      <c r="LKG1" s="383"/>
      <c r="LKH1" s="383"/>
      <c r="LKI1" s="383"/>
      <c r="LKJ1" s="383"/>
      <c r="LKK1" s="383"/>
      <c r="LKL1" s="383"/>
      <c r="LKM1" s="383"/>
      <c r="LKN1" s="383"/>
      <c r="LKO1" s="383"/>
      <c r="LKP1" s="383"/>
      <c r="LKQ1" s="383"/>
      <c r="LKR1" s="383"/>
      <c r="LKS1" s="383"/>
      <c r="LKT1" s="383"/>
      <c r="LKU1" s="383"/>
      <c r="LKV1" s="383"/>
      <c r="LKW1" s="383"/>
      <c r="LKX1" s="383"/>
      <c r="LKY1" s="383"/>
      <c r="LKZ1" s="383"/>
      <c r="LLA1" s="383"/>
      <c r="LLB1" s="383"/>
      <c r="LLC1" s="383"/>
      <c r="LLD1" s="383"/>
      <c r="LLE1" s="383"/>
      <c r="LLF1" s="383"/>
      <c r="LLG1" s="383"/>
      <c r="LLH1" s="383"/>
      <c r="LLI1" s="383"/>
      <c r="LLJ1" s="383"/>
      <c r="LLK1" s="383"/>
      <c r="LLL1" s="383"/>
      <c r="LLM1" s="383"/>
      <c r="LLN1" s="383"/>
      <c r="LLO1" s="383"/>
      <c r="LLP1" s="383"/>
      <c r="LLQ1" s="383"/>
      <c r="LLR1" s="383"/>
      <c r="LLS1" s="383"/>
      <c r="LLT1" s="383"/>
      <c r="LLU1" s="383"/>
      <c r="LLV1" s="383"/>
      <c r="LLW1" s="383"/>
      <c r="LLX1" s="383"/>
      <c r="LLY1" s="383"/>
      <c r="LLZ1" s="383"/>
      <c r="LMA1" s="383"/>
      <c r="LMB1" s="383"/>
      <c r="LMC1" s="383"/>
      <c r="LMD1" s="383"/>
      <c r="LME1" s="383"/>
      <c r="LMF1" s="383"/>
      <c r="LMG1" s="383"/>
      <c r="LMH1" s="383"/>
      <c r="LMI1" s="383"/>
      <c r="LMJ1" s="383"/>
      <c r="LMK1" s="383"/>
      <c r="LML1" s="383"/>
      <c r="LMM1" s="383"/>
      <c r="LMN1" s="383"/>
      <c r="LMO1" s="383"/>
      <c r="LMP1" s="383"/>
      <c r="LMQ1" s="383"/>
      <c r="LMR1" s="383"/>
      <c r="LMS1" s="383"/>
      <c r="LMT1" s="383"/>
      <c r="LMU1" s="383"/>
      <c r="LMV1" s="383"/>
      <c r="LMW1" s="383"/>
      <c r="LMX1" s="383"/>
      <c r="LMY1" s="383"/>
      <c r="LMZ1" s="383"/>
      <c r="LNA1" s="383"/>
      <c r="LNB1" s="383"/>
      <c r="LNC1" s="383"/>
      <c r="LND1" s="383"/>
      <c r="LNE1" s="383"/>
      <c r="LNF1" s="383"/>
      <c r="LNG1" s="383"/>
      <c r="LNH1" s="383"/>
      <c r="LNI1" s="383"/>
      <c r="LNJ1" s="383"/>
      <c r="LNK1" s="383"/>
      <c r="LNL1" s="383"/>
      <c r="LNM1" s="383"/>
      <c r="LNN1" s="383"/>
      <c r="LNO1" s="383"/>
      <c r="LNP1" s="383"/>
      <c r="LNQ1" s="383"/>
      <c r="LNR1" s="383"/>
      <c r="LNS1" s="383"/>
      <c r="LNT1" s="383"/>
      <c r="LNU1" s="383"/>
      <c r="LNV1" s="383"/>
      <c r="LNW1" s="383"/>
      <c r="LNX1" s="383"/>
      <c r="LNY1" s="383"/>
      <c r="LNZ1" s="383"/>
      <c r="LOA1" s="383"/>
      <c r="LOB1" s="383"/>
      <c r="LOC1" s="383"/>
      <c r="LOD1" s="383"/>
      <c r="LOE1" s="383"/>
      <c r="LOF1" s="383"/>
      <c r="LOG1" s="383"/>
      <c r="LOH1" s="383"/>
      <c r="LOI1" s="383"/>
      <c r="LOJ1" s="383"/>
      <c r="LOK1" s="383"/>
      <c r="LOL1" s="383"/>
      <c r="LOM1" s="383"/>
      <c r="LON1" s="383"/>
      <c r="LOO1" s="383"/>
      <c r="LOP1" s="383"/>
      <c r="LOQ1" s="383"/>
      <c r="LOR1" s="383"/>
      <c r="LOS1" s="383"/>
      <c r="LOT1" s="383"/>
      <c r="LOU1" s="383"/>
      <c r="LOV1" s="383"/>
      <c r="LOW1" s="383"/>
      <c r="LOX1" s="383"/>
      <c r="LOY1" s="383"/>
      <c r="LOZ1" s="383"/>
      <c r="LPA1" s="383"/>
      <c r="LPB1" s="383"/>
      <c r="LPC1" s="383"/>
      <c r="LPD1" s="383"/>
      <c r="LPE1" s="383"/>
      <c r="LPF1" s="383"/>
      <c r="LPG1" s="383"/>
      <c r="LPH1" s="383"/>
      <c r="LPI1" s="383"/>
      <c r="LPJ1" s="383"/>
      <c r="LPK1" s="383"/>
      <c r="LPL1" s="383"/>
      <c r="LPM1" s="383"/>
      <c r="LPN1" s="383"/>
      <c r="LPO1" s="383"/>
      <c r="LPP1" s="383"/>
      <c r="LPQ1" s="383"/>
      <c r="LPR1" s="383"/>
      <c r="LPS1" s="383"/>
      <c r="LPT1" s="383"/>
      <c r="LPU1" s="383"/>
      <c r="LPV1" s="383"/>
      <c r="LPW1" s="383"/>
      <c r="LPX1" s="383"/>
      <c r="LPY1" s="383"/>
      <c r="LPZ1" s="383"/>
      <c r="LQA1" s="383"/>
      <c r="LQB1" s="383"/>
      <c r="LQC1" s="383"/>
      <c r="LQD1" s="383"/>
      <c r="LQE1" s="383"/>
      <c r="LQF1" s="383"/>
      <c r="LQG1" s="383"/>
      <c r="LQH1" s="383"/>
      <c r="LQI1" s="383"/>
      <c r="LQJ1" s="383"/>
      <c r="LQK1" s="383"/>
      <c r="LQL1" s="383"/>
      <c r="LQM1" s="383"/>
      <c r="LQN1" s="383"/>
      <c r="LQO1" s="383"/>
      <c r="LQP1" s="383"/>
      <c r="LQQ1" s="383"/>
      <c r="LQR1" s="383"/>
      <c r="LQS1" s="383"/>
      <c r="LQT1" s="383"/>
      <c r="LQU1" s="383"/>
      <c r="LQV1" s="383"/>
      <c r="LQW1" s="383"/>
      <c r="LQX1" s="383"/>
      <c r="LQY1" s="383"/>
      <c r="LQZ1" s="383"/>
      <c r="LRA1" s="383"/>
      <c r="LRB1" s="383"/>
      <c r="LRC1" s="383"/>
      <c r="LRD1" s="383"/>
      <c r="LRE1" s="383"/>
      <c r="LRF1" s="383"/>
      <c r="LRG1" s="383"/>
      <c r="LRH1" s="383"/>
      <c r="LRI1" s="383"/>
      <c r="LRJ1" s="383"/>
      <c r="LRK1" s="383"/>
      <c r="LRL1" s="383"/>
      <c r="LRM1" s="383"/>
      <c r="LRN1" s="383"/>
      <c r="LRO1" s="383"/>
      <c r="LRP1" s="383"/>
      <c r="LRQ1" s="383"/>
      <c r="LRR1" s="383"/>
      <c r="LRS1" s="383"/>
      <c r="LRT1" s="383"/>
      <c r="LRU1" s="383"/>
      <c r="LRV1" s="383"/>
      <c r="LRW1" s="383"/>
      <c r="LRX1" s="383"/>
      <c r="LRY1" s="383"/>
      <c r="LRZ1" s="383"/>
      <c r="LSA1" s="383"/>
      <c r="LSB1" s="383"/>
      <c r="LSC1" s="383"/>
      <c r="LSD1" s="383"/>
      <c r="LSE1" s="383"/>
      <c r="LSF1" s="383"/>
      <c r="LSG1" s="383"/>
      <c r="LSH1" s="383"/>
      <c r="LSI1" s="383"/>
      <c r="LSJ1" s="383"/>
      <c r="LSK1" s="383"/>
      <c r="LSL1" s="383"/>
      <c r="LSM1" s="383"/>
      <c r="LSN1" s="383"/>
      <c r="LSO1" s="383"/>
      <c r="LSP1" s="383"/>
      <c r="LSQ1" s="383"/>
      <c r="LSR1" s="383"/>
      <c r="LSS1" s="383"/>
      <c r="LST1" s="383"/>
      <c r="LSU1" s="383"/>
      <c r="LSV1" s="383"/>
      <c r="LSW1" s="383"/>
      <c r="LSX1" s="383"/>
      <c r="LSY1" s="383"/>
      <c r="LSZ1" s="383"/>
      <c r="LTA1" s="383"/>
      <c r="LTB1" s="383"/>
      <c r="LTC1" s="383"/>
      <c r="LTD1" s="383"/>
      <c r="LTE1" s="383"/>
      <c r="LTF1" s="383"/>
      <c r="LTG1" s="383"/>
      <c r="LTH1" s="383"/>
      <c r="LTI1" s="383"/>
      <c r="LTJ1" s="383"/>
      <c r="LTK1" s="383"/>
      <c r="LTL1" s="383"/>
      <c r="LTM1" s="383"/>
      <c r="LTN1" s="383"/>
      <c r="LTO1" s="383"/>
      <c r="LTP1" s="383"/>
      <c r="LTQ1" s="383"/>
      <c r="LTR1" s="383"/>
      <c r="LTS1" s="383"/>
      <c r="LTT1" s="383"/>
      <c r="LTU1" s="383"/>
      <c r="LTV1" s="383"/>
      <c r="LTW1" s="383"/>
      <c r="LTX1" s="383"/>
      <c r="LTY1" s="383"/>
      <c r="LTZ1" s="383"/>
      <c r="LUA1" s="383"/>
      <c r="LUB1" s="383"/>
      <c r="LUC1" s="383"/>
      <c r="LUD1" s="383"/>
      <c r="LUE1" s="383"/>
      <c r="LUF1" s="383"/>
      <c r="LUG1" s="383"/>
      <c r="LUH1" s="383"/>
      <c r="LUI1" s="383"/>
      <c r="LUJ1" s="383"/>
      <c r="LUK1" s="383"/>
      <c r="LUL1" s="383"/>
      <c r="LUM1" s="383"/>
      <c r="LUN1" s="383"/>
      <c r="LUO1" s="383"/>
      <c r="LUP1" s="383"/>
      <c r="LUQ1" s="383"/>
      <c r="LUR1" s="383"/>
      <c r="LUS1" s="383"/>
      <c r="LUT1" s="383"/>
      <c r="LUU1" s="383"/>
      <c r="LUV1" s="383"/>
      <c r="LUW1" s="383"/>
      <c r="LUX1" s="383"/>
      <c r="LUY1" s="383"/>
      <c r="LUZ1" s="383"/>
      <c r="LVA1" s="383"/>
      <c r="LVB1" s="383"/>
      <c r="LVC1" s="383"/>
      <c r="LVD1" s="383"/>
      <c r="LVE1" s="383"/>
      <c r="LVF1" s="383"/>
      <c r="LVG1" s="383"/>
      <c r="LVH1" s="383"/>
      <c r="LVI1" s="383"/>
      <c r="LVJ1" s="383"/>
      <c r="LVK1" s="383"/>
      <c r="LVL1" s="383"/>
      <c r="LVM1" s="383"/>
      <c r="LVN1" s="383"/>
      <c r="LVO1" s="383"/>
      <c r="LVP1" s="383"/>
      <c r="LVQ1" s="383"/>
      <c r="LVR1" s="383"/>
      <c r="LVS1" s="383"/>
      <c r="LVT1" s="383"/>
      <c r="LVU1" s="383"/>
      <c r="LVV1" s="383"/>
      <c r="LVW1" s="383"/>
      <c r="LVX1" s="383"/>
      <c r="LVY1" s="383"/>
      <c r="LVZ1" s="383"/>
      <c r="LWA1" s="383"/>
      <c r="LWB1" s="383"/>
      <c r="LWC1" s="383"/>
      <c r="LWD1" s="383"/>
      <c r="LWE1" s="383"/>
      <c r="LWF1" s="383"/>
      <c r="LWG1" s="383"/>
      <c r="LWH1" s="383"/>
      <c r="LWI1" s="383"/>
      <c r="LWJ1" s="383"/>
      <c r="LWK1" s="383"/>
      <c r="LWL1" s="383"/>
      <c r="LWM1" s="383"/>
      <c r="LWN1" s="383"/>
      <c r="LWO1" s="383"/>
      <c r="LWP1" s="383"/>
      <c r="LWQ1" s="383"/>
      <c r="LWR1" s="383"/>
      <c r="LWS1" s="383"/>
      <c r="LWT1" s="383"/>
      <c r="LWU1" s="383"/>
      <c r="LWV1" s="383"/>
      <c r="LWW1" s="383"/>
      <c r="LWX1" s="383"/>
      <c r="LWY1" s="383"/>
      <c r="LWZ1" s="383"/>
      <c r="LXA1" s="383"/>
      <c r="LXB1" s="383"/>
      <c r="LXC1" s="383"/>
      <c r="LXD1" s="383"/>
      <c r="LXE1" s="383"/>
      <c r="LXF1" s="383"/>
      <c r="LXG1" s="383"/>
      <c r="LXH1" s="383"/>
      <c r="LXI1" s="383"/>
      <c r="LXJ1" s="383"/>
      <c r="LXK1" s="383"/>
      <c r="LXL1" s="383"/>
      <c r="LXM1" s="383"/>
      <c r="LXN1" s="383"/>
      <c r="LXO1" s="383"/>
      <c r="LXP1" s="383"/>
      <c r="LXQ1" s="383"/>
      <c r="LXR1" s="383"/>
      <c r="LXS1" s="383"/>
      <c r="LXT1" s="383"/>
      <c r="LXU1" s="383"/>
      <c r="LXV1" s="383"/>
      <c r="LXW1" s="383"/>
      <c r="LXX1" s="383"/>
      <c r="LXY1" s="383"/>
      <c r="LXZ1" s="383"/>
      <c r="LYA1" s="383"/>
      <c r="LYB1" s="383"/>
      <c r="LYC1" s="383"/>
      <c r="LYD1" s="383"/>
      <c r="LYE1" s="383"/>
      <c r="LYF1" s="383"/>
      <c r="LYG1" s="383"/>
      <c r="LYH1" s="383"/>
      <c r="LYI1" s="383"/>
      <c r="LYJ1" s="383"/>
      <c r="LYK1" s="383"/>
      <c r="LYL1" s="383"/>
      <c r="LYM1" s="383"/>
      <c r="LYN1" s="383"/>
      <c r="LYO1" s="383"/>
      <c r="LYP1" s="383"/>
      <c r="LYQ1" s="383"/>
      <c r="LYR1" s="383"/>
      <c r="LYS1" s="383"/>
      <c r="LYT1" s="383"/>
      <c r="LYU1" s="383"/>
      <c r="LYV1" s="383"/>
      <c r="LYW1" s="383"/>
      <c r="LYX1" s="383"/>
      <c r="LYY1" s="383"/>
      <c r="LYZ1" s="383"/>
      <c r="LZA1" s="383"/>
      <c r="LZB1" s="383"/>
      <c r="LZC1" s="383"/>
      <c r="LZD1" s="383"/>
      <c r="LZE1" s="383"/>
      <c r="LZF1" s="383"/>
      <c r="LZG1" s="383"/>
      <c r="LZH1" s="383"/>
      <c r="LZI1" s="383"/>
      <c r="LZJ1" s="383"/>
      <c r="LZK1" s="383"/>
      <c r="LZL1" s="383"/>
      <c r="LZM1" s="383"/>
      <c r="LZN1" s="383"/>
      <c r="LZO1" s="383"/>
      <c r="LZP1" s="383"/>
      <c r="LZQ1" s="383"/>
      <c r="LZR1" s="383"/>
      <c r="LZS1" s="383"/>
      <c r="LZT1" s="383"/>
      <c r="LZU1" s="383"/>
      <c r="LZV1" s="383"/>
      <c r="LZW1" s="383"/>
      <c r="LZX1" s="383"/>
      <c r="LZY1" s="383"/>
      <c r="LZZ1" s="383"/>
      <c r="MAA1" s="383"/>
      <c r="MAB1" s="383"/>
      <c r="MAC1" s="383"/>
      <c r="MAD1" s="383"/>
      <c r="MAE1" s="383"/>
      <c r="MAF1" s="383"/>
      <c r="MAG1" s="383"/>
      <c r="MAH1" s="383"/>
      <c r="MAI1" s="383"/>
      <c r="MAJ1" s="383"/>
      <c r="MAK1" s="383"/>
      <c r="MAL1" s="383"/>
      <c r="MAM1" s="383"/>
      <c r="MAN1" s="383"/>
      <c r="MAO1" s="383"/>
      <c r="MAP1" s="383"/>
      <c r="MAQ1" s="383"/>
      <c r="MAR1" s="383"/>
      <c r="MAS1" s="383"/>
      <c r="MAT1" s="383"/>
      <c r="MAU1" s="383"/>
      <c r="MAV1" s="383"/>
      <c r="MAW1" s="383"/>
      <c r="MAX1" s="383"/>
      <c r="MAY1" s="383"/>
      <c r="MAZ1" s="383"/>
      <c r="MBA1" s="383"/>
      <c r="MBB1" s="383"/>
      <c r="MBC1" s="383"/>
      <c r="MBD1" s="383"/>
      <c r="MBE1" s="383"/>
      <c r="MBF1" s="383"/>
      <c r="MBG1" s="383"/>
      <c r="MBH1" s="383"/>
      <c r="MBI1" s="383"/>
      <c r="MBJ1" s="383"/>
      <c r="MBK1" s="383"/>
      <c r="MBL1" s="383"/>
      <c r="MBM1" s="383"/>
      <c r="MBN1" s="383"/>
      <c r="MBO1" s="383"/>
      <c r="MBP1" s="383"/>
      <c r="MBQ1" s="383"/>
      <c r="MBR1" s="383"/>
      <c r="MBS1" s="383"/>
      <c r="MBT1" s="383"/>
      <c r="MBU1" s="383"/>
      <c r="MBV1" s="383"/>
      <c r="MBW1" s="383"/>
      <c r="MBX1" s="383"/>
      <c r="MBY1" s="383"/>
      <c r="MBZ1" s="383"/>
      <c r="MCA1" s="383"/>
      <c r="MCB1" s="383"/>
      <c r="MCC1" s="383"/>
      <c r="MCD1" s="383"/>
      <c r="MCE1" s="383"/>
      <c r="MCF1" s="383"/>
      <c r="MCG1" s="383"/>
      <c r="MCH1" s="383"/>
      <c r="MCI1" s="383"/>
      <c r="MCJ1" s="383"/>
      <c r="MCK1" s="383"/>
      <c r="MCL1" s="383"/>
      <c r="MCM1" s="383"/>
      <c r="MCN1" s="383"/>
      <c r="MCO1" s="383"/>
      <c r="MCP1" s="383"/>
      <c r="MCQ1" s="383"/>
      <c r="MCR1" s="383"/>
      <c r="MCS1" s="383"/>
      <c r="MCT1" s="383"/>
      <c r="MCU1" s="383"/>
      <c r="MCV1" s="383"/>
      <c r="MCW1" s="383"/>
      <c r="MCX1" s="383"/>
      <c r="MCY1" s="383"/>
      <c r="MCZ1" s="383"/>
      <c r="MDA1" s="383"/>
      <c r="MDB1" s="383"/>
      <c r="MDC1" s="383"/>
      <c r="MDD1" s="383"/>
      <c r="MDE1" s="383"/>
      <c r="MDF1" s="383"/>
      <c r="MDG1" s="383"/>
      <c r="MDH1" s="383"/>
      <c r="MDI1" s="383"/>
      <c r="MDJ1" s="383"/>
      <c r="MDK1" s="383"/>
      <c r="MDL1" s="383"/>
      <c r="MDM1" s="383"/>
      <c r="MDN1" s="383"/>
      <c r="MDO1" s="383"/>
      <c r="MDP1" s="383"/>
      <c r="MDQ1" s="383"/>
      <c r="MDR1" s="383"/>
      <c r="MDS1" s="383"/>
      <c r="MDT1" s="383"/>
      <c r="MDU1" s="383"/>
      <c r="MDV1" s="383"/>
      <c r="MDW1" s="383"/>
      <c r="MDX1" s="383"/>
      <c r="MDY1" s="383"/>
      <c r="MDZ1" s="383"/>
      <c r="MEA1" s="383"/>
      <c r="MEB1" s="383"/>
      <c r="MEC1" s="383"/>
      <c r="MED1" s="383"/>
      <c r="MEE1" s="383"/>
      <c r="MEF1" s="383"/>
      <c r="MEG1" s="383"/>
      <c r="MEH1" s="383"/>
      <c r="MEI1" s="383"/>
      <c r="MEJ1" s="383"/>
      <c r="MEK1" s="383"/>
      <c r="MEL1" s="383"/>
      <c r="MEM1" s="383"/>
      <c r="MEN1" s="383"/>
      <c r="MEO1" s="383"/>
      <c r="MEP1" s="383"/>
      <c r="MEQ1" s="383"/>
      <c r="MER1" s="383"/>
      <c r="MES1" s="383"/>
      <c r="MET1" s="383"/>
      <c r="MEU1" s="383"/>
      <c r="MEV1" s="383"/>
      <c r="MEW1" s="383"/>
      <c r="MEX1" s="383"/>
      <c r="MEY1" s="383"/>
      <c r="MEZ1" s="383"/>
      <c r="MFA1" s="383"/>
      <c r="MFB1" s="383"/>
      <c r="MFC1" s="383"/>
      <c r="MFD1" s="383"/>
      <c r="MFE1" s="383"/>
      <c r="MFF1" s="383"/>
      <c r="MFG1" s="383"/>
      <c r="MFH1" s="383"/>
      <c r="MFI1" s="383"/>
      <c r="MFJ1" s="383"/>
      <c r="MFK1" s="383"/>
      <c r="MFL1" s="383"/>
      <c r="MFM1" s="383"/>
      <c r="MFN1" s="383"/>
      <c r="MFO1" s="383"/>
      <c r="MFP1" s="383"/>
      <c r="MFQ1" s="383"/>
      <c r="MFR1" s="383"/>
      <c r="MFS1" s="383"/>
      <c r="MFT1" s="383"/>
      <c r="MFU1" s="383"/>
      <c r="MFV1" s="383"/>
      <c r="MFW1" s="383"/>
      <c r="MFX1" s="383"/>
      <c r="MFY1" s="383"/>
      <c r="MFZ1" s="383"/>
      <c r="MGA1" s="383"/>
      <c r="MGB1" s="383"/>
      <c r="MGC1" s="383"/>
      <c r="MGD1" s="383"/>
      <c r="MGE1" s="383"/>
      <c r="MGF1" s="383"/>
      <c r="MGG1" s="383"/>
      <c r="MGH1" s="383"/>
      <c r="MGI1" s="383"/>
      <c r="MGJ1" s="383"/>
      <c r="MGK1" s="383"/>
      <c r="MGL1" s="383"/>
      <c r="MGM1" s="383"/>
      <c r="MGN1" s="383"/>
      <c r="MGO1" s="383"/>
      <c r="MGP1" s="383"/>
      <c r="MGQ1" s="383"/>
      <c r="MGR1" s="383"/>
      <c r="MGS1" s="383"/>
      <c r="MGT1" s="383"/>
      <c r="MGU1" s="383"/>
      <c r="MGV1" s="383"/>
      <c r="MGW1" s="383"/>
      <c r="MGX1" s="383"/>
      <c r="MGY1" s="383"/>
      <c r="MGZ1" s="383"/>
      <c r="MHA1" s="383"/>
      <c r="MHB1" s="383"/>
      <c r="MHC1" s="383"/>
      <c r="MHD1" s="383"/>
      <c r="MHE1" s="383"/>
      <c r="MHF1" s="383"/>
      <c r="MHG1" s="383"/>
      <c r="MHH1" s="383"/>
      <c r="MHI1" s="383"/>
      <c r="MHJ1" s="383"/>
      <c r="MHK1" s="383"/>
      <c r="MHL1" s="383"/>
      <c r="MHM1" s="383"/>
      <c r="MHN1" s="383"/>
      <c r="MHO1" s="383"/>
      <c r="MHP1" s="383"/>
      <c r="MHQ1" s="383"/>
      <c r="MHR1" s="383"/>
      <c r="MHS1" s="383"/>
      <c r="MHT1" s="383"/>
      <c r="MHU1" s="383"/>
      <c r="MHV1" s="383"/>
      <c r="MHW1" s="383"/>
      <c r="MHX1" s="383"/>
      <c r="MHY1" s="383"/>
      <c r="MHZ1" s="383"/>
      <c r="MIA1" s="383"/>
      <c r="MIB1" s="383"/>
      <c r="MIC1" s="383"/>
      <c r="MID1" s="383"/>
      <c r="MIE1" s="383"/>
      <c r="MIF1" s="383"/>
      <c r="MIG1" s="383"/>
      <c r="MIH1" s="383"/>
      <c r="MII1" s="383"/>
      <c r="MIJ1" s="383"/>
      <c r="MIK1" s="383"/>
      <c r="MIL1" s="383"/>
      <c r="MIM1" s="383"/>
      <c r="MIN1" s="383"/>
      <c r="MIO1" s="383"/>
      <c r="MIP1" s="383"/>
      <c r="MIQ1" s="383"/>
      <c r="MIR1" s="383"/>
      <c r="MIS1" s="383"/>
      <c r="MIT1" s="383"/>
      <c r="MIU1" s="383"/>
      <c r="MIV1" s="383"/>
      <c r="MIW1" s="383"/>
      <c r="MIX1" s="383"/>
      <c r="MIY1" s="383"/>
      <c r="MIZ1" s="383"/>
      <c r="MJA1" s="383"/>
      <c r="MJB1" s="383"/>
      <c r="MJC1" s="383"/>
      <c r="MJD1" s="383"/>
      <c r="MJE1" s="383"/>
      <c r="MJF1" s="383"/>
      <c r="MJG1" s="383"/>
      <c r="MJH1" s="383"/>
      <c r="MJI1" s="383"/>
      <c r="MJJ1" s="383"/>
      <c r="MJK1" s="383"/>
      <c r="MJL1" s="383"/>
      <c r="MJM1" s="383"/>
      <c r="MJN1" s="383"/>
      <c r="MJO1" s="383"/>
      <c r="MJP1" s="383"/>
      <c r="MJQ1" s="383"/>
      <c r="MJR1" s="383"/>
      <c r="MJS1" s="383"/>
      <c r="MJT1" s="383"/>
      <c r="MJU1" s="383"/>
      <c r="MJV1" s="383"/>
      <c r="MJW1" s="383"/>
      <c r="MJX1" s="383"/>
      <c r="MJY1" s="383"/>
      <c r="MJZ1" s="383"/>
      <c r="MKA1" s="383"/>
      <c r="MKB1" s="383"/>
      <c r="MKC1" s="383"/>
      <c r="MKD1" s="383"/>
      <c r="MKE1" s="383"/>
      <c r="MKF1" s="383"/>
      <c r="MKG1" s="383"/>
      <c r="MKH1" s="383"/>
      <c r="MKI1" s="383"/>
      <c r="MKJ1" s="383"/>
      <c r="MKK1" s="383"/>
      <c r="MKL1" s="383"/>
      <c r="MKM1" s="383"/>
      <c r="MKN1" s="383"/>
      <c r="MKO1" s="383"/>
      <c r="MKP1" s="383"/>
      <c r="MKQ1" s="383"/>
      <c r="MKR1" s="383"/>
      <c r="MKS1" s="383"/>
      <c r="MKT1" s="383"/>
      <c r="MKU1" s="383"/>
      <c r="MKV1" s="383"/>
      <c r="MKW1" s="383"/>
      <c r="MKX1" s="383"/>
      <c r="MKY1" s="383"/>
      <c r="MKZ1" s="383"/>
      <c r="MLA1" s="383"/>
      <c r="MLB1" s="383"/>
      <c r="MLC1" s="383"/>
      <c r="MLD1" s="383"/>
      <c r="MLE1" s="383"/>
      <c r="MLF1" s="383"/>
      <c r="MLG1" s="383"/>
      <c r="MLH1" s="383"/>
      <c r="MLI1" s="383"/>
      <c r="MLJ1" s="383"/>
      <c r="MLK1" s="383"/>
      <c r="MLL1" s="383"/>
      <c r="MLM1" s="383"/>
      <c r="MLN1" s="383"/>
      <c r="MLO1" s="383"/>
      <c r="MLP1" s="383"/>
      <c r="MLQ1" s="383"/>
      <c r="MLR1" s="383"/>
      <c r="MLS1" s="383"/>
      <c r="MLT1" s="383"/>
      <c r="MLU1" s="383"/>
      <c r="MLV1" s="383"/>
      <c r="MLW1" s="383"/>
      <c r="MLX1" s="383"/>
      <c r="MLY1" s="383"/>
      <c r="MLZ1" s="383"/>
      <c r="MMA1" s="383"/>
      <c r="MMB1" s="383"/>
      <c r="MMC1" s="383"/>
      <c r="MMD1" s="383"/>
      <c r="MME1" s="383"/>
      <c r="MMF1" s="383"/>
      <c r="MMG1" s="383"/>
      <c r="MMH1" s="383"/>
      <c r="MMI1" s="383"/>
      <c r="MMJ1" s="383"/>
      <c r="MMK1" s="383"/>
      <c r="MML1" s="383"/>
      <c r="MMM1" s="383"/>
      <c r="MMN1" s="383"/>
      <c r="MMO1" s="383"/>
      <c r="MMP1" s="383"/>
      <c r="MMQ1" s="383"/>
      <c r="MMR1" s="383"/>
      <c r="MMS1" s="383"/>
      <c r="MMT1" s="383"/>
      <c r="MMU1" s="383"/>
      <c r="MMV1" s="383"/>
      <c r="MMW1" s="383"/>
      <c r="MMX1" s="383"/>
      <c r="MMY1" s="383"/>
      <c r="MMZ1" s="383"/>
      <c r="MNA1" s="383"/>
      <c r="MNB1" s="383"/>
      <c r="MNC1" s="383"/>
      <c r="MND1" s="383"/>
      <c r="MNE1" s="383"/>
      <c r="MNF1" s="383"/>
      <c r="MNG1" s="383"/>
      <c r="MNH1" s="383"/>
      <c r="MNI1" s="383"/>
      <c r="MNJ1" s="383"/>
      <c r="MNK1" s="383"/>
      <c r="MNL1" s="383"/>
      <c r="MNM1" s="383"/>
      <c r="MNN1" s="383"/>
      <c r="MNO1" s="383"/>
      <c r="MNP1" s="383"/>
      <c r="MNQ1" s="383"/>
      <c r="MNR1" s="383"/>
      <c r="MNS1" s="383"/>
      <c r="MNT1" s="383"/>
      <c r="MNU1" s="383"/>
      <c r="MNV1" s="383"/>
      <c r="MNW1" s="383"/>
      <c r="MNX1" s="383"/>
      <c r="MNY1" s="383"/>
      <c r="MNZ1" s="383"/>
      <c r="MOA1" s="383"/>
      <c r="MOB1" s="383"/>
      <c r="MOC1" s="383"/>
      <c r="MOD1" s="383"/>
      <c r="MOE1" s="383"/>
      <c r="MOF1" s="383"/>
      <c r="MOG1" s="383"/>
      <c r="MOH1" s="383"/>
      <c r="MOI1" s="383"/>
      <c r="MOJ1" s="383"/>
      <c r="MOK1" s="383"/>
      <c r="MOL1" s="383"/>
      <c r="MOM1" s="383"/>
      <c r="MON1" s="383"/>
      <c r="MOO1" s="383"/>
      <c r="MOP1" s="383"/>
      <c r="MOQ1" s="383"/>
      <c r="MOR1" s="383"/>
      <c r="MOS1" s="383"/>
      <c r="MOT1" s="383"/>
      <c r="MOU1" s="383"/>
      <c r="MOV1" s="383"/>
      <c r="MOW1" s="383"/>
      <c r="MOX1" s="383"/>
      <c r="MOY1" s="383"/>
      <c r="MOZ1" s="383"/>
      <c r="MPA1" s="383"/>
      <c r="MPB1" s="383"/>
      <c r="MPC1" s="383"/>
      <c r="MPD1" s="383"/>
      <c r="MPE1" s="383"/>
      <c r="MPF1" s="383"/>
      <c r="MPG1" s="383"/>
      <c r="MPH1" s="383"/>
      <c r="MPI1" s="383"/>
      <c r="MPJ1" s="383"/>
      <c r="MPK1" s="383"/>
      <c r="MPL1" s="383"/>
      <c r="MPM1" s="383"/>
      <c r="MPN1" s="383"/>
      <c r="MPO1" s="383"/>
      <c r="MPP1" s="383"/>
      <c r="MPQ1" s="383"/>
      <c r="MPR1" s="383"/>
      <c r="MPS1" s="383"/>
      <c r="MPT1" s="383"/>
      <c r="MPU1" s="383"/>
      <c r="MPV1" s="383"/>
      <c r="MPW1" s="383"/>
      <c r="MPX1" s="383"/>
      <c r="MPY1" s="383"/>
      <c r="MPZ1" s="383"/>
      <c r="MQA1" s="383"/>
      <c r="MQB1" s="383"/>
      <c r="MQC1" s="383"/>
      <c r="MQD1" s="383"/>
      <c r="MQE1" s="383"/>
      <c r="MQF1" s="383"/>
      <c r="MQG1" s="383"/>
      <c r="MQH1" s="383"/>
      <c r="MQI1" s="383"/>
      <c r="MQJ1" s="383"/>
      <c r="MQK1" s="383"/>
      <c r="MQL1" s="383"/>
      <c r="MQM1" s="383"/>
      <c r="MQN1" s="383"/>
      <c r="MQO1" s="383"/>
      <c r="MQP1" s="383"/>
      <c r="MQQ1" s="383"/>
      <c r="MQR1" s="383"/>
      <c r="MQS1" s="383"/>
      <c r="MQT1" s="383"/>
      <c r="MQU1" s="383"/>
      <c r="MQV1" s="383"/>
      <c r="MQW1" s="383"/>
      <c r="MQX1" s="383"/>
      <c r="MQY1" s="383"/>
      <c r="MQZ1" s="383"/>
      <c r="MRA1" s="383"/>
      <c r="MRB1" s="383"/>
      <c r="MRC1" s="383"/>
      <c r="MRD1" s="383"/>
      <c r="MRE1" s="383"/>
      <c r="MRF1" s="383"/>
      <c r="MRG1" s="383"/>
      <c r="MRH1" s="383"/>
      <c r="MRI1" s="383"/>
      <c r="MRJ1" s="383"/>
      <c r="MRK1" s="383"/>
      <c r="MRL1" s="383"/>
      <c r="MRM1" s="383"/>
      <c r="MRN1" s="383"/>
      <c r="MRO1" s="383"/>
      <c r="MRP1" s="383"/>
      <c r="MRQ1" s="383"/>
      <c r="MRR1" s="383"/>
      <c r="MRS1" s="383"/>
      <c r="MRT1" s="383"/>
      <c r="MRU1" s="383"/>
      <c r="MRV1" s="383"/>
      <c r="MRW1" s="383"/>
      <c r="MRX1" s="383"/>
      <c r="MRY1" s="383"/>
      <c r="MRZ1" s="383"/>
      <c r="MSA1" s="383"/>
      <c r="MSB1" s="383"/>
      <c r="MSC1" s="383"/>
      <c r="MSD1" s="383"/>
      <c r="MSE1" s="383"/>
      <c r="MSF1" s="383"/>
      <c r="MSG1" s="383"/>
      <c r="MSH1" s="383"/>
      <c r="MSI1" s="383"/>
      <c r="MSJ1" s="383"/>
      <c r="MSK1" s="383"/>
      <c r="MSL1" s="383"/>
      <c r="MSM1" s="383"/>
      <c r="MSN1" s="383"/>
      <c r="MSO1" s="383"/>
      <c r="MSP1" s="383"/>
      <c r="MSQ1" s="383"/>
      <c r="MSR1" s="383"/>
      <c r="MSS1" s="383"/>
      <c r="MST1" s="383"/>
      <c r="MSU1" s="383"/>
      <c r="MSV1" s="383"/>
      <c r="MSW1" s="383"/>
      <c r="MSX1" s="383"/>
      <c r="MSY1" s="383"/>
      <c r="MSZ1" s="383"/>
      <c r="MTA1" s="383"/>
      <c r="MTB1" s="383"/>
      <c r="MTC1" s="383"/>
      <c r="MTD1" s="383"/>
      <c r="MTE1" s="383"/>
      <c r="MTF1" s="383"/>
      <c r="MTG1" s="383"/>
      <c r="MTH1" s="383"/>
      <c r="MTI1" s="383"/>
      <c r="MTJ1" s="383"/>
      <c r="MTK1" s="383"/>
      <c r="MTL1" s="383"/>
      <c r="MTM1" s="383"/>
      <c r="MTN1" s="383"/>
      <c r="MTO1" s="383"/>
      <c r="MTP1" s="383"/>
      <c r="MTQ1" s="383"/>
      <c r="MTR1" s="383"/>
      <c r="MTS1" s="383"/>
      <c r="MTT1" s="383"/>
      <c r="MTU1" s="383"/>
      <c r="MTV1" s="383"/>
      <c r="MTW1" s="383"/>
      <c r="MTX1" s="383"/>
      <c r="MTY1" s="383"/>
      <c r="MTZ1" s="383"/>
      <c r="MUA1" s="383"/>
      <c r="MUB1" s="383"/>
      <c r="MUC1" s="383"/>
      <c r="MUD1" s="383"/>
      <c r="MUE1" s="383"/>
      <c r="MUF1" s="383"/>
      <c r="MUG1" s="383"/>
      <c r="MUH1" s="383"/>
      <c r="MUI1" s="383"/>
      <c r="MUJ1" s="383"/>
      <c r="MUK1" s="383"/>
      <c r="MUL1" s="383"/>
      <c r="MUM1" s="383"/>
      <c r="MUN1" s="383"/>
      <c r="MUO1" s="383"/>
      <c r="MUP1" s="383"/>
      <c r="MUQ1" s="383"/>
      <c r="MUR1" s="383"/>
      <c r="MUS1" s="383"/>
      <c r="MUT1" s="383"/>
      <c r="MUU1" s="383"/>
      <c r="MUV1" s="383"/>
      <c r="MUW1" s="383"/>
      <c r="MUX1" s="383"/>
      <c r="MUY1" s="383"/>
      <c r="MUZ1" s="383"/>
      <c r="MVA1" s="383"/>
      <c r="MVB1" s="383"/>
      <c r="MVC1" s="383"/>
      <c r="MVD1" s="383"/>
      <c r="MVE1" s="383"/>
      <c r="MVF1" s="383"/>
      <c r="MVG1" s="383"/>
      <c r="MVH1" s="383"/>
      <c r="MVI1" s="383"/>
      <c r="MVJ1" s="383"/>
      <c r="MVK1" s="383"/>
      <c r="MVL1" s="383"/>
      <c r="MVM1" s="383"/>
      <c r="MVN1" s="383"/>
      <c r="MVO1" s="383"/>
      <c r="MVP1" s="383"/>
      <c r="MVQ1" s="383"/>
      <c r="MVR1" s="383"/>
      <c r="MVS1" s="383"/>
      <c r="MVT1" s="383"/>
      <c r="MVU1" s="383"/>
      <c r="MVV1" s="383"/>
      <c r="MVW1" s="383"/>
      <c r="MVX1" s="383"/>
      <c r="MVY1" s="383"/>
      <c r="MVZ1" s="383"/>
      <c r="MWA1" s="383"/>
      <c r="MWB1" s="383"/>
      <c r="MWC1" s="383"/>
      <c r="MWD1" s="383"/>
      <c r="MWE1" s="383"/>
      <c r="MWF1" s="383"/>
      <c r="MWG1" s="383"/>
      <c r="MWH1" s="383"/>
      <c r="MWI1" s="383"/>
      <c r="MWJ1" s="383"/>
      <c r="MWK1" s="383"/>
      <c r="MWL1" s="383"/>
      <c r="MWM1" s="383"/>
      <c r="MWN1" s="383"/>
      <c r="MWO1" s="383"/>
      <c r="MWP1" s="383"/>
      <c r="MWQ1" s="383"/>
      <c r="MWR1" s="383"/>
      <c r="MWS1" s="383"/>
      <c r="MWT1" s="383"/>
      <c r="MWU1" s="383"/>
      <c r="MWV1" s="383"/>
      <c r="MWW1" s="383"/>
      <c r="MWX1" s="383"/>
      <c r="MWY1" s="383"/>
      <c r="MWZ1" s="383"/>
      <c r="MXA1" s="383"/>
      <c r="MXB1" s="383"/>
      <c r="MXC1" s="383"/>
      <c r="MXD1" s="383"/>
      <c r="MXE1" s="383"/>
      <c r="MXF1" s="383"/>
      <c r="MXG1" s="383"/>
      <c r="MXH1" s="383"/>
      <c r="MXI1" s="383"/>
      <c r="MXJ1" s="383"/>
      <c r="MXK1" s="383"/>
      <c r="MXL1" s="383"/>
      <c r="MXM1" s="383"/>
      <c r="MXN1" s="383"/>
      <c r="MXO1" s="383"/>
      <c r="MXP1" s="383"/>
      <c r="MXQ1" s="383"/>
      <c r="MXR1" s="383"/>
      <c r="MXS1" s="383"/>
      <c r="MXT1" s="383"/>
      <c r="MXU1" s="383"/>
      <c r="MXV1" s="383"/>
      <c r="MXW1" s="383"/>
      <c r="MXX1" s="383"/>
      <c r="MXY1" s="383"/>
      <c r="MXZ1" s="383"/>
      <c r="MYA1" s="383"/>
      <c r="MYB1" s="383"/>
      <c r="MYC1" s="383"/>
      <c r="MYD1" s="383"/>
      <c r="MYE1" s="383"/>
      <c r="MYF1" s="383"/>
      <c r="MYG1" s="383"/>
      <c r="MYH1" s="383"/>
      <c r="MYI1" s="383"/>
      <c r="MYJ1" s="383"/>
      <c r="MYK1" s="383"/>
      <c r="MYL1" s="383"/>
      <c r="MYM1" s="383"/>
      <c r="MYN1" s="383"/>
      <c r="MYO1" s="383"/>
      <c r="MYP1" s="383"/>
      <c r="MYQ1" s="383"/>
      <c r="MYR1" s="383"/>
      <c r="MYS1" s="383"/>
      <c r="MYT1" s="383"/>
      <c r="MYU1" s="383"/>
      <c r="MYV1" s="383"/>
      <c r="MYW1" s="383"/>
      <c r="MYX1" s="383"/>
      <c r="MYY1" s="383"/>
      <c r="MYZ1" s="383"/>
      <c r="MZA1" s="383"/>
      <c r="MZB1" s="383"/>
      <c r="MZC1" s="383"/>
      <c r="MZD1" s="383"/>
      <c r="MZE1" s="383"/>
      <c r="MZF1" s="383"/>
      <c r="MZG1" s="383"/>
      <c r="MZH1" s="383"/>
      <c r="MZI1" s="383"/>
      <c r="MZJ1" s="383"/>
      <c r="MZK1" s="383"/>
      <c r="MZL1" s="383"/>
      <c r="MZM1" s="383"/>
      <c r="MZN1" s="383"/>
      <c r="MZO1" s="383"/>
      <c r="MZP1" s="383"/>
      <c r="MZQ1" s="383"/>
      <c r="MZR1" s="383"/>
      <c r="MZS1" s="383"/>
      <c r="MZT1" s="383"/>
      <c r="MZU1" s="383"/>
      <c r="MZV1" s="383"/>
      <c r="MZW1" s="383"/>
      <c r="MZX1" s="383"/>
      <c r="MZY1" s="383"/>
      <c r="MZZ1" s="383"/>
      <c r="NAA1" s="383"/>
      <c r="NAB1" s="383"/>
      <c r="NAC1" s="383"/>
      <c r="NAD1" s="383"/>
      <c r="NAE1" s="383"/>
      <c r="NAF1" s="383"/>
      <c r="NAG1" s="383"/>
      <c r="NAH1" s="383"/>
      <c r="NAI1" s="383"/>
      <c r="NAJ1" s="383"/>
      <c r="NAK1" s="383"/>
      <c r="NAL1" s="383"/>
      <c r="NAM1" s="383"/>
      <c r="NAN1" s="383"/>
      <c r="NAO1" s="383"/>
      <c r="NAP1" s="383"/>
      <c r="NAQ1" s="383"/>
      <c r="NAR1" s="383"/>
      <c r="NAS1" s="383"/>
      <c r="NAT1" s="383"/>
      <c r="NAU1" s="383"/>
      <c r="NAV1" s="383"/>
      <c r="NAW1" s="383"/>
      <c r="NAX1" s="383"/>
      <c r="NAY1" s="383"/>
      <c r="NAZ1" s="383"/>
      <c r="NBA1" s="383"/>
      <c r="NBB1" s="383"/>
      <c r="NBC1" s="383"/>
      <c r="NBD1" s="383"/>
      <c r="NBE1" s="383"/>
      <c r="NBF1" s="383"/>
      <c r="NBG1" s="383"/>
      <c r="NBH1" s="383"/>
      <c r="NBI1" s="383"/>
      <c r="NBJ1" s="383"/>
      <c r="NBK1" s="383"/>
      <c r="NBL1" s="383"/>
      <c r="NBM1" s="383"/>
      <c r="NBN1" s="383"/>
      <c r="NBO1" s="383"/>
      <c r="NBP1" s="383"/>
      <c r="NBQ1" s="383"/>
      <c r="NBR1" s="383"/>
      <c r="NBS1" s="383"/>
      <c r="NBT1" s="383"/>
      <c r="NBU1" s="383"/>
      <c r="NBV1" s="383"/>
      <c r="NBW1" s="383"/>
      <c r="NBX1" s="383"/>
      <c r="NBY1" s="383"/>
      <c r="NBZ1" s="383"/>
      <c r="NCA1" s="383"/>
      <c r="NCB1" s="383"/>
      <c r="NCC1" s="383"/>
      <c r="NCD1" s="383"/>
      <c r="NCE1" s="383"/>
      <c r="NCF1" s="383"/>
      <c r="NCG1" s="383"/>
      <c r="NCH1" s="383"/>
      <c r="NCI1" s="383"/>
      <c r="NCJ1" s="383"/>
      <c r="NCK1" s="383"/>
      <c r="NCL1" s="383"/>
      <c r="NCM1" s="383"/>
      <c r="NCN1" s="383"/>
      <c r="NCO1" s="383"/>
      <c r="NCP1" s="383"/>
      <c r="NCQ1" s="383"/>
      <c r="NCR1" s="383"/>
      <c r="NCS1" s="383"/>
      <c r="NCT1" s="383"/>
      <c r="NCU1" s="383"/>
      <c r="NCV1" s="383"/>
      <c r="NCW1" s="383"/>
      <c r="NCX1" s="383"/>
      <c r="NCY1" s="383"/>
      <c r="NCZ1" s="383"/>
      <c r="NDA1" s="383"/>
      <c r="NDB1" s="383"/>
      <c r="NDC1" s="383"/>
      <c r="NDD1" s="383"/>
      <c r="NDE1" s="383"/>
      <c r="NDF1" s="383"/>
      <c r="NDG1" s="383"/>
      <c r="NDH1" s="383"/>
      <c r="NDI1" s="383"/>
      <c r="NDJ1" s="383"/>
      <c r="NDK1" s="383"/>
      <c r="NDL1" s="383"/>
      <c r="NDM1" s="383"/>
      <c r="NDN1" s="383"/>
      <c r="NDO1" s="383"/>
      <c r="NDP1" s="383"/>
      <c r="NDQ1" s="383"/>
      <c r="NDR1" s="383"/>
      <c r="NDS1" s="383"/>
      <c r="NDT1" s="383"/>
      <c r="NDU1" s="383"/>
      <c r="NDV1" s="383"/>
      <c r="NDW1" s="383"/>
      <c r="NDX1" s="383"/>
      <c r="NDY1" s="383"/>
      <c r="NDZ1" s="383"/>
      <c r="NEA1" s="383"/>
      <c r="NEB1" s="383"/>
      <c r="NEC1" s="383"/>
      <c r="NED1" s="383"/>
      <c r="NEE1" s="383"/>
      <c r="NEF1" s="383"/>
      <c r="NEG1" s="383"/>
      <c r="NEH1" s="383"/>
      <c r="NEI1" s="383"/>
      <c r="NEJ1" s="383"/>
      <c r="NEK1" s="383"/>
      <c r="NEL1" s="383"/>
      <c r="NEM1" s="383"/>
      <c r="NEN1" s="383"/>
      <c r="NEO1" s="383"/>
      <c r="NEP1" s="383"/>
      <c r="NEQ1" s="383"/>
      <c r="NER1" s="383"/>
      <c r="NES1" s="383"/>
      <c r="NET1" s="383"/>
      <c r="NEU1" s="383"/>
      <c r="NEV1" s="383"/>
      <c r="NEW1" s="383"/>
      <c r="NEX1" s="383"/>
      <c r="NEY1" s="383"/>
      <c r="NEZ1" s="383"/>
      <c r="NFA1" s="383"/>
      <c r="NFB1" s="383"/>
      <c r="NFC1" s="383"/>
      <c r="NFD1" s="383"/>
      <c r="NFE1" s="383"/>
      <c r="NFF1" s="383"/>
      <c r="NFG1" s="383"/>
      <c r="NFH1" s="383"/>
      <c r="NFI1" s="383"/>
      <c r="NFJ1" s="383"/>
      <c r="NFK1" s="383"/>
      <c r="NFL1" s="383"/>
      <c r="NFM1" s="383"/>
      <c r="NFN1" s="383"/>
      <c r="NFO1" s="383"/>
      <c r="NFP1" s="383"/>
      <c r="NFQ1" s="383"/>
      <c r="NFR1" s="383"/>
      <c r="NFS1" s="383"/>
      <c r="NFT1" s="383"/>
      <c r="NFU1" s="383"/>
      <c r="NFV1" s="383"/>
      <c r="NFW1" s="383"/>
      <c r="NFX1" s="383"/>
      <c r="NFY1" s="383"/>
      <c r="NFZ1" s="383"/>
      <c r="NGA1" s="383"/>
      <c r="NGB1" s="383"/>
      <c r="NGC1" s="383"/>
      <c r="NGD1" s="383"/>
      <c r="NGE1" s="383"/>
      <c r="NGF1" s="383"/>
      <c r="NGG1" s="383"/>
      <c r="NGH1" s="383"/>
      <c r="NGI1" s="383"/>
      <c r="NGJ1" s="383"/>
      <c r="NGK1" s="383"/>
      <c r="NGL1" s="383"/>
      <c r="NGM1" s="383"/>
      <c r="NGN1" s="383"/>
      <c r="NGO1" s="383"/>
      <c r="NGP1" s="383"/>
      <c r="NGQ1" s="383"/>
      <c r="NGR1" s="383"/>
      <c r="NGS1" s="383"/>
      <c r="NGT1" s="383"/>
      <c r="NGU1" s="383"/>
      <c r="NGV1" s="383"/>
      <c r="NGW1" s="383"/>
      <c r="NGX1" s="383"/>
      <c r="NGY1" s="383"/>
      <c r="NGZ1" s="383"/>
      <c r="NHA1" s="383"/>
      <c r="NHB1" s="383"/>
      <c r="NHC1" s="383"/>
      <c r="NHD1" s="383"/>
      <c r="NHE1" s="383"/>
      <c r="NHF1" s="383"/>
      <c r="NHG1" s="383"/>
      <c r="NHH1" s="383"/>
      <c r="NHI1" s="383"/>
      <c r="NHJ1" s="383"/>
      <c r="NHK1" s="383"/>
      <c r="NHL1" s="383"/>
      <c r="NHM1" s="383"/>
      <c r="NHN1" s="383"/>
      <c r="NHO1" s="383"/>
      <c r="NHP1" s="383"/>
      <c r="NHQ1" s="383"/>
      <c r="NHR1" s="383"/>
      <c r="NHS1" s="383"/>
      <c r="NHT1" s="383"/>
      <c r="NHU1" s="383"/>
      <c r="NHV1" s="383"/>
      <c r="NHW1" s="383"/>
      <c r="NHX1" s="383"/>
      <c r="NHY1" s="383"/>
      <c r="NHZ1" s="383"/>
      <c r="NIA1" s="383"/>
      <c r="NIB1" s="383"/>
      <c r="NIC1" s="383"/>
      <c r="NID1" s="383"/>
      <c r="NIE1" s="383"/>
      <c r="NIF1" s="383"/>
      <c r="NIG1" s="383"/>
      <c r="NIH1" s="383"/>
      <c r="NII1" s="383"/>
      <c r="NIJ1" s="383"/>
      <c r="NIK1" s="383"/>
      <c r="NIL1" s="383"/>
      <c r="NIM1" s="383"/>
      <c r="NIN1" s="383"/>
      <c r="NIO1" s="383"/>
      <c r="NIP1" s="383"/>
      <c r="NIQ1" s="383"/>
      <c r="NIR1" s="383"/>
      <c r="NIS1" s="383"/>
      <c r="NIT1" s="383"/>
      <c r="NIU1" s="383"/>
      <c r="NIV1" s="383"/>
      <c r="NIW1" s="383"/>
      <c r="NIX1" s="383"/>
      <c r="NIY1" s="383"/>
      <c r="NIZ1" s="383"/>
      <c r="NJA1" s="383"/>
      <c r="NJB1" s="383"/>
      <c r="NJC1" s="383"/>
      <c r="NJD1" s="383"/>
      <c r="NJE1" s="383"/>
      <c r="NJF1" s="383"/>
      <c r="NJG1" s="383"/>
      <c r="NJH1" s="383"/>
      <c r="NJI1" s="383"/>
      <c r="NJJ1" s="383"/>
      <c r="NJK1" s="383"/>
      <c r="NJL1" s="383"/>
      <c r="NJM1" s="383"/>
      <c r="NJN1" s="383"/>
      <c r="NJO1" s="383"/>
      <c r="NJP1" s="383"/>
      <c r="NJQ1" s="383"/>
      <c r="NJR1" s="383"/>
      <c r="NJS1" s="383"/>
      <c r="NJT1" s="383"/>
      <c r="NJU1" s="383"/>
      <c r="NJV1" s="383"/>
      <c r="NJW1" s="383"/>
      <c r="NJX1" s="383"/>
      <c r="NJY1" s="383"/>
      <c r="NJZ1" s="383"/>
      <c r="NKA1" s="383"/>
      <c r="NKB1" s="383"/>
      <c r="NKC1" s="383"/>
      <c r="NKD1" s="383"/>
      <c r="NKE1" s="383"/>
      <c r="NKF1" s="383"/>
      <c r="NKG1" s="383"/>
      <c r="NKH1" s="383"/>
      <c r="NKI1" s="383"/>
      <c r="NKJ1" s="383"/>
      <c r="NKK1" s="383"/>
      <c r="NKL1" s="383"/>
      <c r="NKM1" s="383"/>
      <c r="NKN1" s="383"/>
      <c r="NKO1" s="383"/>
      <c r="NKP1" s="383"/>
      <c r="NKQ1" s="383"/>
      <c r="NKR1" s="383"/>
      <c r="NKS1" s="383"/>
      <c r="NKT1" s="383"/>
      <c r="NKU1" s="383"/>
      <c r="NKV1" s="383"/>
      <c r="NKW1" s="383"/>
      <c r="NKX1" s="383"/>
      <c r="NKY1" s="383"/>
      <c r="NKZ1" s="383"/>
      <c r="NLA1" s="383"/>
      <c r="NLB1" s="383"/>
      <c r="NLC1" s="383"/>
      <c r="NLD1" s="383"/>
      <c r="NLE1" s="383"/>
      <c r="NLF1" s="383"/>
      <c r="NLG1" s="383"/>
      <c r="NLH1" s="383"/>
      <c r="NLI1" s="383"/>
      <c r="NLJ1" s="383"/>
      <c r="NLK1" s="383"/>
      <c r="NLL1" s="383"/>
      <c r="NLM1" s="383"/>
      <c r="NLN1" s="383"/>
      <c r="NLO1" s="383"/>
      <c r="NLP1" s="383"/>
      <c r="NLQ1" s="383"/>
      <c r="NLR1" s="383"/>
      <c r="NLS1" s="383"/>
      <c r="NLT1" s="383"/>
      <c r="NLU1" s="383"/>
      <c r="NLV1" s="383"/>
      <c r="NLW1" s="383"/>
      <c r="NLX1" s="383"/>
      <c r="NLY1" s="383"/>
      <c r="NLZ1" s="383"/>
      <c r="NMA1" s="383"/>
      <c r="NMB1" s="383"/>
      <c r="NMC1" s="383"/>
      <c r="NMD1" s="383"/>
      <c r="NME1" s="383"/>
      <c r="NMF1" s="383"/>
      <c r="NMG1" s="383"/>
      <c r="NMH1" s="383"/>
      <c r="NMI1" s="383"/>
      <c r="NMJ1" s="383"/>
      <c r="NMK1" s="383"/>
      <c r="NML1" s="383"/>
      <c r="NMM1" s="383"/>
      <c r="NMN1" s="383"/>
      <c r="NMO1" s="383"/>
      <c r="NMP1" s="383"/>
      <c r="NMQ1" s="383"/>
      <c r="NMR1" s="383"/>
      <c r="NMS1" s="383"/>
      <c r="NMT1" s="383"/>
      <c r="NMU1" s="383"/>
      <c r="NMV1" s="383"/>
      <c r="NMW1" s="383"/>
      <c r="NMX1" s="383"/>
      <c r="NMY1" s="383"/>
      <c r="NMZ1" s="383"/>
      <c r="NNA1" s="383"/>
      <c r="NNB1" s="383"/>
      <c r="NNC1" s="383"/>
      <c r="NND1" s="383"/>
      <c r="NNE1" s="383"/>
      <c r="NNF1" s="383"/>
      <c r="NNG1" s="383"/>
      <c r="NNH1" s="383"/>
      <c r="NNI1" s="383"/>
      <c r="NNJ1" s="383"/>
      <c r="NNK1" s="383"/>
      <c r="NNL1" s="383"/>
      <c r="NNM1" s="383"/>
      <c r="NNN1" s="383"/>
      <c r="NNO1" s="383"/>
      <c r="NNP1" s="383"/>
      <c r="NNQ1" s="383"/>
      <c r="NNR1" s="383"/>
      <c r="NNS1" s="383"/>
      <c r="NNT1" s="383"/>
      <c r="NNU1" s="383"/>
      <c r="NNV1" s="383"/>
      <c r="NNW1" s="383"/>
      <c r="NNX1" s="383"/>
      <c r="NNY1" s="383"/>
      <c r="NNZ1" s="383"/>
      <c r="NOA1" s="383"/>
      <c r="NOB1" s="383"/>
      <c r="NOC1" s="383"/>
      <c r="NOD1" s="383"/>
      <c r="NOE1" s="383"/>
      <c r="NOF1" s="383"/>
      <c r="NOG1" s="383"/>
      <c r="NOH1" s="383"/>
      <c r="NOI1" s="383"/>
      <c r="NOJ1" s="383"/>
      <c r="NOK1" s="383"/>
      <c r="NOL1" s="383"/>
      <c r="NOM1" s="383"/>
      <c r="NON1" s="383"/>
      <c r="NOO1" s="383"/>
      <c r="NOP1" s="383"/>
      <c r="NOQ1" s="383"/>
      <c r="NOR1" s="383"/>
      <c r="NOS1" s="383"/>
      <c r="NOT1" s="383"/>
      <c r="NOU1" s="383"/>
      <c r="NOV1" s="383"/>
      <c r="NOW1" s="383"/>
      <c r="NOX1" s="383"/>
      <c r="NOY1" s="383"/>
      <c r="NOZ1" s="383"/>
      <c r="NPA1" s="383"/>
      <c r="NPB1" s="383"/>
      <c r="NPC1" s="383"/>
      <c r="NPD1" s="383"/>
      <c r="NPE1" s="383"/>
      <c r="NPF1" s="383"/>
      <c r="NPG1" s="383"/>
      <c r="NPH1" s="383"/>
      <c r="NPI1" s="383"/>
      <c r="NPJ1" s="383"/>
      <c r="NPK1" s="383"/>
      <c r="NPL1" s="383"/>
      <c r="NPM1" s="383"/>
      <c r="NPN1" s="383"/>
      <c r="NPO1" s="383"/>
      <c r="NPP1" s="383"/>
      <c r="NPQ1" s="383"/>
      <c r="NPR1" s="383"/>
      <c r="NPS1" s="383"/>
      <c r="NPT1" s="383"/>
      <c r="NPU1" s="383"/>
      <c r="NPV1" s="383"/>
      <c r="NPW1" s="383"/>
      <c r="NPX1" s="383"/>
      <c r="NPY1" s="383"/>
      <c r="NPZ1" s="383"/>
      <c r="NQA1" s="383"/>
      <c r="NQB1" s="383"/>
      <c r="NQC1" s="383"/>
      <c r="NQD1" s="383"/>
      <c r="NQE1" s="383"/>
      <c r="NQF1" s="383"/>
      <c r="NQG1" s="383"/>
      <c r="NQH1" s="383"/>
      <c r="NQI1" s="383"/>
      <c r="NQJ1" s="383"/>
      <c r="NQK1" s="383"/>
      <c r="NQL1" s="383"/>
      <c r="NQM1" s="383"/>
      <c r="NQN1" s="383"/>
      <c r="NQO1" s="383"/>
      <c r="NQP1" s="383"/>
      <c r="NQQ1" s="383"/>
      <c r="NQR1" s="383"/>
      <c r="NQS1" s="383"/>
      <c r="NQT1" s="383"/>
      <c r="NQU1" s="383"/>
      <c r="NQV1" s="383"/>
      <c r="NQW1" s="383"/>
      <c r="NQX1" s="383"/>
      <c r="NQY1" s="383"/>
      <c r="NQZ1" s="383"/>
      <c r="NRA1" s="383"/>
      <c r="NRB1" s="383"/>
      <c r="NRC1" s="383"/>
      <c r="NRD1" s="383"/>
      <c r="NRE1" s="383"/>
      <c r="NRF1" s="383"/>
      <c r="NRG1" s="383"/>
      <c r="NRH1" s="383"/>
      <c r="NRI1" s="383"/>
      <c r="NRJ1" s="383"/>
      <c r="NRK1" s="383"/>
      <c r="NRL1" s="383"/>
      <c r="NRM1" s="383"/>
      <c r="NRN1" s="383"/>
      <c r="NRO1" s="383"/>
      <c r="NRP1" s="383"/>
      <c r="NRQ1" s="383"/>
      <c r="NRR1" s="383"/>
      <c r="NRS1" s="383"/>
      <c r="NRT1" s="383"/>
      <c r="NRU1" s="383"/>
      <c r="NRV1" s="383"/>
      <c r="NRW1" s="383"/>
      <c r="NRX1" s="383"/>
      <c r="NRY1" s="383"/>
      <c r="NRZ1" s="383"/>
      <c r="NSA1" s="383"/>
      <c r="NSB1" s="383"/>
      <c r="NSC1" s="383"/>
      <c r="NSD1" s="383"/>
      <c r="NSE1" s="383"/>
      <c r="NSF1" s="383"/>
      <c r="NSG1" s="383"/>
      <c r="NSH1" s="383"/>
      <c r="NSI1" s="383"/>
      <c r="NSJ1" s="383"/>
      <c r="NSK1" s="383"/>
      <c r="NSL1" s="383"/>
      <c r="NSM1" s="383"/>
      <c r="NSN1" s="383"/>
      <c r="NSO1" s="383"/>
      <c r="NSP1" s="383"/>
      <c r="NSQ1" s="383"/>
      <c r="NSR1" s="383"/>
      <c r="NSS1" s="383"/>
      <c r="NST1" s="383"/>
      <c r="NSU1" s="383"/>
      <c r="NSV1" s="383"/>
      <c r="NSW1" s="383"/>
      <c r="NSX1" s="383"/>
      <c r="NSY1" s="383"/>
      <c r="NSZ1" s="383"/>
      <c r="NTA1" s="383"/>
      <c r="NTB1" s="383"/>
      <c r="NTC1" s="383"/>
      <c r="NTD1" s="383"/>
      <c r="NTE1" s="383"/>
      <c r="NTF1" s="383"/>
      <c r="NTG1" s="383"/>
      <c r="NTH1" s="383"/>
      <c r="NTI1" s="383"/>
      <c r="NTJ1" s="383"/>
      <c r="NTK1" s="383"/>
      <c r="NTL1" s="383"/>
      <c r="NTM1" s="383"/>
      <c r="NTN1" s="383"/>
      <c r="NTO1" s="383"/>
      <c r="NTP1" s="383"/>
      <c r="NTQ1" s="383"/>
      <c r="NTR1" s="383"/>
      <c r="NTS1" s="383"/>
      <c r="NTT1" s="383"/>
      <c r="NTU1" s="383"/>
      <c r="NTV1" s="383"/>
      <c r="NTW1" s="383"/>
      <c r="NTX1" s="383"/>
      <c r="NTY1" s="383"/>
      <c r="NTZ1" s="383"/>
      <c r="NUA1" s="383"/>
      <c r="NUB1" s="383"/>
      <c r="NUC1" s="383"/>
      <c r="NUD1" s="383"/>
      <c r="NUE1" s="383"/>
      <c r="NUF1" s="383"/>
      <c r="NUG1" s="383"/>
      <c r="NUH1" s="383"/>
      <c r="NUI1" s="383"/>
      <c r="NUJ1" s="383"/>
      <c r="NUK1" s="383"/>
      <c r="NUL1" s="383"/>
      <c r="NUM1" s="383"/>
      <c r="NUN1" s="383"/>
      <c r="NUO1" s="383"/>
      <c r="NUP1" s="383"/>
      <c r="NUQ1" s="383"/>
      <c r="NUR1" s="383"/>
      <c r="NUS1" s="383"/>
      <c r="NUT1" s="383"/>
      <c r="NUU1" s="383"/>
      <c r="NUV1" s="383"/>
      <c r="NUW1" s="383"/>
      <c r="NUX1" s="383"/>
      <c r="NUY1" s="383"/>
      <c r="NUZ1" s="383"/>
      <c r="NVA1" s="383"/>
      <c r="NVB1" s="383"/>
      <c r="NVC1" s="383"/>
      <c r="NVD1" s="383"/>
      <c r="NVE1" s="383"/>
      <c r="NVF1" s="383"/>
      <c r="NVG1" s="383"/>
      <c r="NVH1" s="383"/>
      <c r="NVI1" s="383"/>
      <c r="NVJ1" s="383"/>
      <c r="NVK1" s="383"/>
      <c r="NVL1" s="383"/>
      <c r="NVM1" s="383"/>
      <c r="NVN1" s="383"/>
      <c r="NVO1" s="383"/>
      <c r="NVP1" s="383"/>
      <c r="NVQ1" s="383"/>
      <c r="NVR1" s="383"/>
      <c r="NVS1" s="383"/>
      <c r="NVT1" s="383"/>
      <c r="NVU1" s="383"/>
      <c r="NVV1" s="383"/>
      <c r="NVW1" s="383"/>
      <c r="NVX1" s="383"/>
      <c r="NVY1" s="383"/>
      <c r="NVZ1" s="383"/>
      <c r="NWA1" s="383"/>
      <c r="NWB1" s="383"/>
      <c r="NWC1" s="383"/>
      <c r="NWD1" s="383"/>
      <c r="NWE1" s="383"/>
      <c r="NWF1" s="383"/>
      <c r="NWG1" s="383"/>
      <c r="NWH1" s="383"/>
      <c r="NWI1" s="383"/>
      <c r="NWJ1" s="383"/>
      <c r="NWK1" s="383"/>
      <c r="NWL1" s="383"/>
      <c r="NWM1" s="383"/>
      <c r="NWN1" s="383"/>
      <c r="NWO1" s="383"/>
      <c r="NWP1" s="383"/>
      <c r="NWQ1" s="383"/>
      <c r="NWR1" s="383"/>
      <c r="NWS1" s="383"/>
      <c r="NWT1" s="383"/>
      <c r="NWU1" s="383"/>
      <c r="NWV1" s="383"/>
      <c r="NWW1" s="383"/>
      <c r="NWX1" s="383"/>
      <c r="NWY1" s="383"/>
      <c r="NWZ1" s="383"/>
      <c r="NXA1" s="383"/>
      <c r="NXB1" s="383"/>
      <c r="NXC1" s="383"/>
      <c r="NXD1" s="383"/>
      <c r="NXE1" s="383"/>
      <c r="NXF1" s="383"/>
      <c r="NXG1" s="383"/>
      <c r="NXH1" s="383"/>
      <c r="NXI1" s="383"/>
      <c r="NXJ1" s="383"/>
      <c r="NXK1" s="383"/>
      <c r="NXL1" s="383"/>
      <c r="NXM1" s="383"/>
      <c r="NXN1" s="383"/>
      <c r="NXO1" s="383"/>
      <c r="NXP1" s="383"/>
      <c r="NXQ1" s="383"/>
      <c r="NXR1" s="383"/>
      <c r="NXS1" s="383"/>
      <c r="NXT1" s="383"/>
      <c r="NXU1" s="383"/>
      <c r="NXV1" s="383"/>
      <c r="NXW1" s="383"/>
      <c r="NXX1" s="383"/>
      <c r="NXY1" s="383"/>
      <c r="NXZ1" s="383"/>
      <c r="NYA1" s="383"/>
      <c r="NYB1" s="383"/>
      <c r="NYC1" s="383"/>
      <c r="NYD1" s="383"/>
      <c r="NYE1" s="383"/>
      <c r="NYF1" s="383"/>
      <c r="NYG1" s="383"/>
      <c r="NYH1" s="383"/>
      <c r="NYI1" s="383"/>
      <c r="NYJ1" s="383"/>
      <c r="NYK1" s="383"/>
      <c r="NYL1" s="383"/>
      <c r="NYM1" s="383"/>
      <c r="NYN1" s="383"/>
      <c r="NYO1" s="383"/>
      <c r="NYP1" s="383"/>
      <c r="NYQ1" s="383"/>
      <c r="NYR1" s="383"/>
      <c r="NYS1" s="383"/>
      <c r="NYT1" s="383"/>
      <c r="NYU1" s="383"/>
      <c r="NYV1" s="383"/>
      <c r="NYW1" s="383"/>
      <c r="NYX1" s="383"/>
      <c r="NYY1" s="383"/>
      <c r="NYZ1" s="383"/>
      <c r="NZA1" s="383"/>
      <c r="NZB1" s="383"/>
      <c r="NZC1" s="383"/>
      <c r="NZD1" s="383"/>
      <c r="NZE1" s="383"/>
      <c r="NZF1" s="383"/>
      <c r="NZG1" s="383"/>
      <c r="NZH1" s="383"/>
      <c r="NZI1" s="383"/>
      <c r="NZJ1" s="383"/>
      <c r="NZK1" s="383"/>
      <c r="NZL1" s="383"/>
      <c r="NZM1" s="383"/>
      <c r="NZN1" s="383"/>
      <c r="NZO1" s="383"/>
      <c r="NZP1" s="383"/>
      <c r="NZQ1" s="383"/>
      <c r="NZR1" s="383"/>
      <c r="NZS1" s="383"/>
      <c r="NZT1" s="383"/>
      <c r="NZU1" s="383"/>
      <c r="NZV1" s="383"/>
      <c r="NZW1" s="383"/>
      <c r="NZX1" s="383"/>
      <c r="NZY1" s="383"/>
      <c r="NZZ1" s="383"/>
      <c r="OAA1" s="383"/>
      <c r="OAB1" s="383"/>
      <c r="OAC1" s="383"/>
      <c r="OAD1" s="383"/>
      <c r="OAE1" s="383"/>
      <c r="OAF1" s="383"/>
      <c r="OAG1" s="383"/>
      <c r="OAH1" s="383"/>
      <c r="OAI1" s="383"/>
      <c r="OAJ1" s="383"/>
      <c r="OAK1" s="383"/>
      <c r="OAL1" s="383"/>
      <c r="OAM1" s="383"/>
      <c r="OAN1" s="383"/>
      <c r="OAO1" s="383"/>
      <c r="OAP1" s="383"/>
      <c r="OAQ1" s="383"/>
      <c r="OAR1" s="383"/>
      <c r="OAS1" s="383"/>
      <c r="OAT1" s="383"/>
      <c r="OAU1" s="383"/>
      <c r="OAV1" s="383"/>
      <c r="OAW1" s="383"/>
      <c r="OAX1" s="383"/>
      <c r="OAY1" s="383"/>
      <c r="OAZ1" s="383"/>
      <c r="OBA1" s="383"/>
      <c r="OBB1" s="383"/>
      <c r="OBC1" s="383"/>
      <c r="OBD1" s="383"/>
      <c r="OBE1" s="383"/>
      <c r="OBF1" s="383"/>
      <c r="OBG1" s="383"/>
      <c r="OBH1" s="383"/>
      <c r="OBI1" s="383"/>
      <c r="OBJ1" s="383"/>
      <c r="OBK1" s="383"/>
      <c r="OBL1" s="383"/>
      <c r="OBM1" s="383"/>
      <c r="OBN1" s="383"/>
      <c r="OBO1" s="383"/>
      <c r="OBP1" s="383"/>
      <c r="OBQ1" s="383"/>
      <c r="OBR1" s="383"/>
      <c r="OBS1" s="383"/>
      <c r="OBT1" s="383"/>
      <c r="OBU1" s="383"/>
      <c r="OBV1" s="383"/>
      <c r="OBW1" s="383"/>
      <c r="OBX1" s="383"/>
      <c r="OBY1" s="383"/>
      <c r="OBZ1" s="383"/>
      <c r="OCA1" s="383"/>
      <c r="OCB1" s="383"/>
      <c r="OCC1" s="383"/>
      <c r="OCD1" s="383"/>
      <c r="OCE1" s="383"/>
      <c r="OCF1" s="383"/>
      <c r="OCG1" s="383"/>
      <c r="OCH1" s="383"/>
      <c r="OCI1" s="383"/>
      <c r="OCJ1" s="383"/>
      <c r="OCK1" s="383"/>
      <c r="OCL1" s="383"/>
      <c r="OCM1" s="383"/>
      <c r="OCN1" s="383"/>
      <c r="OCO1" s="383"/>
      <c r="OCP1" s="383"/>
      <c r="OCQ1" s="383"/>
      <c r="OCR1" s="383"/>
      <c r="OCS1" s="383"/>
      <c r="OCT1" s="383"/>
      <c r="OCU1" s="383"/>
      <c r="OCV1" s="383"/>
      <c r="OCW1" s="383"/>
      <c r="OCX1" s="383"/>
      <c r="OCY1" s="383"/>
      <c r="OCZ1" s="383"/>
      <c r="ODA1" s="383"/>
      <c r="ODB1" s="383"/>
      <c r="ODC1" s="383"/>
      <c r="ODD1" s="383"/>
      <c r="ODE1" s="383"/>
      <c r="ODF1" s="383"/>
      <c r="ODG1" s="383"/>
      <c r="ODH1" s="383"/>
      <c r="ODI1" s="383"/>
      <c r="ODJ1" s="383"/>
      <c r="ODK1" s="383"/>
      <c r="ODL1" s="383"/>
      <c r="ODM1" s="383"/>
      <c r="ODN1" s="383"/>
      <c r="ODO1" s="383"/>
      <c r="ODP1" s="383"/>
      <c r="ODQ1" s="383"/>
      <c r="ODR1" s="383"/>
      <c r="ODS1" s="383"/>
      <c r="ODT1" s="383"/>
      <c r="ODU1" s="383"/>
      <c r="ODV1" s="383"/>
      <c r="ODW1" s="383"/>
      <c r="ODX1" s="383"/>
      <c r="ODY1" s="383"/>
      <c r="ODZ1" s="383"/>
      <c r="OEA1" s="383"/>
      <c r="OEB1" s="383"/>
      <c r="OEC1" s="383"/>
      <c r="OED1" s="383"/>
      <c r="OEE1" s="383"/>
      <c r="OEF1" s="383"/>
      <c r="OEG1" s="383"/>
      <c r="OEH1" s="383"/>
      <c r="OEI1" s="383"/>
      <c r="OEJ1" s="383"/>
      <c r="OEK1" s="383"/>
      <c r="OEL1" s="383"/>
      <c r="OEM1" s="383"/>
      <c r="OEN1" s="383"/>
      <c r="OEO1" s="383"/>
      <c r="OEP1" s="383"/>
      <c r="OEQ1" s="383"/>
      <c r="OER1" s="383"/>
      <c r="OES1" s="383"/>
      <c r="OET1" s="383"/>
      <c r="OEU1" s="383"/>
      <c r="OEV1" s="383"/>
      <c r="OEW1" s="383"/>
      <c r="OEX1" s="383"/>
      <c r="OEY1" s="383"/>
      <c r="OEZ1" s="383"/>
      <c r="OFA1" s="383"/>
      <c r="OFB1" s="383"/>
      <c r="OFC1" s="383"/>
      <c r="OFD1" s="383"/>
      <c r="OFE1" s="383"/>
      <c r="OFF1" s="383"/>
      <c r="OFG1" s="383"/>
      <c r="OFH1" s="383"/>
      <c r="OFI1" s="383"/>
      <c r="OFJ1" s="383"/>
      <c r="OFK1" s="383"/>
      <c r="OFL1" s="383"/>
      <c r="OFM1" s="383"/>
      <c r="OFN1" s="383"/>
      <c r="OFO1" s="383"/>
      <c r="OFP1" s="383"/>
      <c r="OFQ1" s="383"/>
      <c r="OFR1" s="383"/>
      <c r="OFS1" s="383"/>
      <c r="OFT1" s="383"/>
      <c r="OFU1" s="383"/>
      <c r="OFV1" s="383"/>
      <c r="OFW1" s="383"/>
      <c r="OFX1" s="383"/>
      <c r="OFY1" s="383"/>
      <c r="OFZ1" s="383"/>
      <c r="OGA1" s="383"/>
      <c r="OGB1" s="383"/>
      <c r="OGC1" s="383"/>
      <c r="OGD1" s="383"/>
      <c r="OGE1" s="383"/>
      <c r="OGF1" s="383"/>
      <c r="OGG1" s="383"/>
      <c r="OGH1" s="383"/>
      <c r="OGI1" s="383"/>
      <c r="OGJ1" s="383"/>
      <c r="OGK1" s="383"/>
      <c r="OGL1" s="383"/>
      <c r="OGM1" s="383"/>
      <c r="OGN1" s="383"/>
      <c r="OGO1" s="383"/>
      <c r="OGP1" s="383"/>
      <c r="OGQ1" s="383"/>
      <c r="OGR1" s="383"/>
      <c r="OGS1" s="383"/>
      <c r="OGT1" s="383"/>
      <c r="OGU1" s="383"/>
      <c r="OGV1" s="383"/>
      <c r="OGW1" s="383"/>
      <c r="OGX1" s="383"/>
      <c r="OGY1" s="383"/>
      <c r="OGZ1" s="383"/>
      <c r="OHA1" s="383"/>
      <c r="OHB1" s="383"/>
      <c r="OHC1" s="383"/>
      <c r="OHD1" s="383"/>
      <c r="OHE1" s="383"/>
      <c r="OHF1" s="383"/>
      <c r="OHG1" s="383"/>
      <c r="OHH1" s="383"/>
      <c r="OHI1" s="383"/>
      <c r="OHJ1" s="383"/>
      <c r="OHK1" s="383"/>
      <c r="OHL1" s="383"/>
      <c r="OHM1" s="383"/>
      <c r="OHN1" s="383"/>
      <c r="OHO1" s="383"/>
      <c r="OHP1" s="383"/>
      <c r="OHQ1" s="383"/>
      <c r="OHR1" s="383"/>
      <c r="OHS1" s="383"/>
      <c r="OHT1" s="383"/>
      <c r="OHU1" s="383"/>
      <c r="OHV1" s="383"/>
      <c r="OHW1" s="383"/>
      <c r="OHX1" s="383"/>
      <c r="OHY1" s="383"/>
      <c r="OHZ1" s="383"/>
      <c r="OIA1" s="383"/>
      <c r="OIB1" s="383"/>
      <c r="OIC1" s="383"/>
      <c r="OID1" s="383"/>
      <c r="OIE1" s="383"/>
      <c r="OIF1" s="383"/>
      <c r="OIG1" s="383"/>
      <c r="OIH1" s="383"/>
      <c r="OII1" s="383"/>
      <c r="OIJ1" s="383"/>
      <c r="OIK1" s="383"/>
      <c r="OIL1" s="383"/>
      <c r="OIM1" s="383"/>
      <c r="OIN1" s="383"/>
      <c r="OIO1" s="383"/>
      <c r="OIP1" s="383"/>
      <c r="OIQ1" s="383"/>
      <c r="OIR1" s="383"/>
      <c r="OIS1" s="383"/>
      <c r="OIT1" s="383"/>
      <c r="OIU1" s="383"/>
      <c r="OIV1" s="383"/>
      <c r="OIW1" s="383"/>
      <c r="OIX1" s="383"/>
      <c r="OIY1" s="383"/>
      <c r="OIZ1" s="383"/>
      <c r="OJA1" s="383"/>
      <c r="OJB1" s="383"/>
      <c r="OJC1" s="383"/>
      <c r="OJD1" s="383"/>
      <c r="OJE1" s="383"/>
      <c r="OJF1" s="383"/>
      <c r="OJG1" s="383"/>
      <c r="OJH1" s="383"/>
      <c r="OJI1" s="383"/>
      <c r="OJJ1" s="383"/>
      <c r="OJK1" s="383"/>
      <c r="OJL1" s="383"/>
      <c r="OJM1" s="383"/>
      <c r="OJN1" s="383"/>
      <c r="OJO1" s="383"/>
      <c r="OJP1" s="383"/>
      <c r="OJQ1" s="383"/>
      <c r="OJR1" s="383"/>
      <c r="OJS1" s="383"/>
      <c r="OJT1" s="383"/>
      <c r="OJU1" s="383"/>
      <c r="OJV1" s="383"/>
      <c r="OJW1" s="383"/>
      <c r="OJX1" s="383"/>
      <c r="OJY1" s="383"/>
      <c r="OJZ1" s="383"/>
      <c r="OKA1" s="383"/>
      <c r="OKB1" s="383"/>
      <c r="OKC1" s="383"/>
      <c r="OKD1" s="383"/>
      <c r="OKE1" s="383"/>
      <c r="OKF1" s="383"/>
      <c r="OKG1" s="383"/>
      <c r="OKH1" s="383"/>
      <c r="OKI1" s="383"/>
      <c r="OKJ1" s="383"/>
      <c r="OKK1" s="383"/>
      <c r="OKL1" s="383"/>
      <c r="OKM1" s="383"/>
      <c r="OKN1" s="383"/>
      <c r="OKO1" s="383"/>
      <c r="OKP1" s="383"/>
      <c r="OKQ1" s="383"/>
      <c r="OKR1" s="383"/>
      <c r="OKS1" s="383"/>
      <c r="OKT1" s="383"/>
      <c r="OKU1" s="383"/>
      <c r="OKV1" s="383"/>
      <c r="OKW1" s="383"/>
      <c r="OKX1" s="383"/>
      <c r="OKY1" s="383"/>
      <c r="OKZ1" s="383"/>
      <c r="OLA1" s="383"/>
      <c r="OLB1" s="383"/>
      <c r="OLC1" s="383"/>
      <c r="OLD1" s="383"/>
      <c r="OLE1" s="383"/>
      <c r="OLF1" s="383"/>
      <c r="OLG1" s="383"/>
      <c r="OLH1" s="383"/>
      <c r="OLI1" s="383"/>
      <c r="OLJ1" s="383"/>
      <c r="OLK1" s="383"/>
      <c r="OLL1" s="383"/>
      <c r="OLM1" s="383"/>
      <c r="OLN1" s="383"/>
      <c r="OLO1" s="383"/>
      <c r="OLP1" s="383"/>
      <c r="OLQ1" s="383"/>
      <c r="OLR1" s="383"/>
      <c r="OLS1" s="383"/>
      <c r="OLT1" s="383"/>
      <c r="OLU1" s="383"/>
      <c r="OLV1" s="383"/>
      <c r="OLW1" s="383"/>
      <c r="OLX1" s="383"/>
      <c r="OLY1" s="383"/>
      <c r="OLZ1" s="383"/>
      <c r="OMA1" s="383"/>
      <c r="OMB1" s="383"/>
      <c r="OMC1" s="383"/>
      <c r="OMD1" s="383"/>
      <c r="OME1" s="383"/>
      <c r="OMF1" s="383"/>
      <c r="OMG1" s="383"/>
      <c r="OMH1" s="383"/>
      <c r="OMI1" s="383"/>
      <c r="OMJ1" s="383"/>
      <c r="OMK1" s="383"/>
      <c r="OML1" s="383"/>
      <c r="OMM1" s="383"/>
      <c r="OMN1" s="383"/>
      <c r="OMO1" s="383"/>
      <c r="OMP1" s="383"/>
      <c r="OMQ1" s="383"/>
      <c r="OMR1" s="383"/>
      <c r="OMS1" s="383"/>
      <c r="OMT1" s="383"/>
      <c r="OMU1" s="383"/>
      <c r="OMV1" s="383"/>
      <c r="OMW1" s="383"/>
      <c r="OMX1" s="383"/>
      <c r="OMY1" s="383"/>
      <c r="OMZ1" s="383"/>
      <c r="ONA1" s="383"/>
      <c r="ONB1" s="383"/>
      <c r="ONC1" s="383"/>
      <c r="OND1" s="383"/>
      <c r="ONE1" s="383"/>
      <c r="ONF1" s="383"/>
      <c r="ONG1" s="383"/>
      <c r="ONH1" s="383"/>
      <c r="ONI1" s="383"/>
      <c r="ONJ1" s="383"/>
      <c r="ONK1" s="383"/>
      <c r="ONL1" s="383"/>
      <c r="ONM1" s="383"/>
      <c r="ONN1" s="383"/>
      <c r="ONO1" s="383"/>
      <c r="ONP1" s="383"/>
      <c r="ONQ1" s="383"/>
      <c r="ONR1" s="383"/>
      <c r="ONS1" s="383"/>
      <c r="ONT1" s="383"/>
      <c r="ONU1" s="383"/>
      <c r="ONV1" s="383"/>
      <c r="ONW1" s="383"/>
      <c r="ONX1" s="383"/>
      <c r="ONY1" s="383"/>
      <c r="ONZ1" s="383"/>
      <c r="OOA1" s="383"/>
      <c r="OOB1" s="383"/>
      <c r="OOC1" s="383"/>
      <c r="OOD1" s="383"/>
      <c r="OOE1" s="383"/>
      <c r="OOF1" s="383"/>
      <c r="OOG1" s="383"/>
      <c r="OOH1" s="383"/>
      <c r="OOI1" s="383"/>
      <c r="OOJ1" s="383"/>
      <c r="OOK1" s="383"/>
      <c r="OOL1" s="383"/>
      <c r="OOM1" s="383"/>
      <c r="OON1" s="383"/>
      <c r="OOO1" s="383"/>
      <c r="OOP1" s="383"/>
      <c r="OOQ1" s="383"/>
      <c r="OOR1" s="383"/>
      <c r="OOS1" s="383"/>
      <c r="OOT1" s="383"/>
      <c r="OOU1" s="383"/>
      <c r="OOV1" s="383"/>
      <c r="OOW1" s="383"/>
      <c r="OOX1" s="383"/>
      <c r="OOY1" s="383"/>
      <c r="OOZ1" s="383"/>
      <c r="OPA1" s="383"/>
      <c r="OPB1" s="383"/>
      <c r="OPC1" s="383"/>
      <c r="OPD1" s="383"/>
      <c r="OPE1" s="383"/>
      <c r="OPF1" s="383"/>
      <c r="OPG1" s="383"/>
      <c r="OPH1" s="383"/>
      <c r="OPI1" s="383"/>
      <c r="OPJ1" s="383"/>
      <c r="OPK1" s="383"/>
      <c r="OPL1" s="383"/>
      <c r="OPM1" s="383"/>
      <c r="OPN1" s="383"/>
      <c r="OPO1" s="383"/>
      <c r="OPP1" s="383"/>
      <c r="OPQ1" s="383"/>
      <c r="OPR1" s="383"/>
      <c r="OPS1" s="383"/>
      <c r="OPT1" s="383"/>
      <c r="OPU1" s="383"/>
      <c r="OPV1" s="383"/>
      <c r="OPW1" s="383"/>
      <c r="OPX1" s="383"/>
      <c r="OPY1" s="383"/>
      <c r="OPZ1" s="383"/>
      <c r="OQA1" s="383"/>
      <c r="OQB1" s="383"/>
      <c r="OQC1" s="383"/>
      <c r="OQD1" s="383"/>
      <c r="OQE1" s="383"/>
      <c r="OQF1" s="383"/>
      <c r="OQG1" s="383"/>
      <c r="OQH1" s="383"/>
      <c r="OQI1" s="383"/>
      <c r="OQJ1" s="383"/>
      <c r="OQK1" s="383"/>
      <c r="OQL1" s="383"/>
      <c r="OQM1" s="383"/>
      <c r="OQN1" s="383"/>
      <c r="OQO1" s="383"/>
      <c r="OQP1" s="383"/>
      <c r="OQQ1" s="383"/>
      <c r="OQR1" s="383"/>
      <c r="OQS1" s="383"/>
      <c r="OQT1" s="383"/>
      <c r="OQU1" s="383"/>
      <c r="OQV1" s="383"/>
      <c r="OQW1" s="383"/>
      <c r="OQX1" s="383"/>
      <c r="OQY1" s="383"/>
      <c r="OQZ1" s="383"/>
      <c r="ORA1" s="383"/>
      <c r="ORB1" s="383"/>
      <c r="ORC1" s="383"/>
      <c r="ORD1" s="383"/>
      <c r="ORE1" s="383"/>
      <c r="ORF1" s="383"/>
      <c r="ORG1" s="383"/>
      <c r="ORH1" s="383"/>
      <c r="ORI1" s="383"/>
      <c r="ORJ1" s="383"/>
      <c r="ORK1" s="383"/>
      <c r="ORL1" s="383"/>
      <c r="ORM1" s="383"/>
      <c r="ORN1" s="383"/>
      <c r="ORO1" s="383"/>
      <c r="ORP1" s="383"/>
      <c r="ORQ1" s="383"/>
      <c r="ORR1" s="383"/>
      <c r="ORS1" s="383"/>
      <c r="ORT1" s="383"/>
      <c r="ORU1" s="383"/>
      <c r="ORV1" s="383"/>
      <c r="ORW1" s="383"/>
      <c r="ORX1" s="383"/>
      <c r="ORY1" s="383"/>
      <c r="ORZ1" s="383"/>
      <c r="OSA1" s="383"/>
      <c r="OSB1" s="383"/>
      <c r="OSC1" s="383"/>
      <c r="OSD1" s="383"/>
      <c r="OSE1" s="383"/>
      <c r="OSF1" s="383"/>
      <c r="OSG1" s="383"/>
      <c r="OSH1" s="383"/>
      <c r="OSI1" s="383"/>
      <c r="OSJ1" s="383"/>
      <c r="OSK1" s="383"/>
      <c r="OSL1" s="383"/>
      <c r="OSM1" s="383"/>
      <c r="OSN1" s="383"/>
      <c r="OSO1" s="383"/>
      <c r="OSP1" s="383"/>
      <c r="OSQ1" s="383"/>
      <c r="OSR1" s="383"/>
      <c r="OSS1" s="383"/>
      <c r="OST1" s="383"/>
      <c r="OSU1" s="383"/>
      <c r="OSV1" s="383"/>
      <c r="OSW1" s="383"/>
      <c r="OSX1" s="383"/>
      <c r="OSY1" s="383"/>
      <c r="OSZ1" s="383"/>
      <c r="OTA1" s="383"/>
      <c r="OTB1" s="383"/>
      <c r="OTC1" s="383"/>
      <c r="OTD1" s="383"/>
      <c r="OTE1" s="383"/>
      <c r="OTF1" s="383"/>
      <c r="OTG1" s="383"/>
      <c r="OTH1" s="383"/>
      <c r="OTI1" s="383"/>
      <c r="OTJ1" s="383"/>
      <c r="OTK1" s="383"/>
      <c r="OTL1" s="383"/>
      <c r="OTM1" s="383"/>
      <c r="OTN1" s="383"/>
      <c r="OTO1" s="383"/>
      <c r="OTP1" s="383"/>
      <c r="OTQ1" s="383"/>
      <c r="OTR1" s="383"/>
      <c r="OTS1" s="383"/>
      <c r="OTT1" s="383"/>
      <c r="OTU1" s="383"/>
      <c r="OTV1" s="383"/>
      <c r="OTW1" s="383"/>
      <c r="OTX1" s="383"/>
      <c r="OTY1" s="383"/>
      <c r="OTZ1" s="383"/>
      <c r="OUA1" s="383"/>
      <c r="OUB1" s="383"/>
      <c r="OUC1" s="383"/>
      <c r="OUD1" s="383"/>
      <c r="OUE1" s="383"/>
      <c r="OUF1" s="383"/>
      <c r="OUG1" s="383"/>
      <c r="OUH1" s="383"/>
      <c r="OUI1" s="383"/>
      <c r="OUJ1" s="383"/>
      <c r="OUK1" s="383"/>
      <c r="OUL1" s="383"/>
      <c r="OUM1" s="383"/>
      <c r="OUN1" s="383"/>
      <c r="OUO1" s="383"/>
      <c r="OUP1" s="383"/>
      <c r="OUQ1" s="383"/>
      <c r="OUR1" s="383"/>
      <c r="OUS1" s="383"/>
      <c r="OUT1" s="383"/>
      <c r="OUU1" s="383"/>
      <c r="OUV1" s="383"/>
      <c r="OUW1" s="383"/>
      <c r="OUX1" s="383"/>
      <c r="OUY1" s="383"/>
      <c r="OUZ1" s="383"/>
      <c r="OVA1" s="383"/>
      <c r="OVB1" s="383"/>
      <c r="OVC1" s="383"/>
      <c r="OVD1" s="383"/>
      <c r="OVE1" s="383"/>
      <c r="OVF1" s="383"/>
      <c r="OVG1" s="383"/>
      <c r="OVH1" s="383"/>
      <c r="OVI1" s="383"/>
      <c r="OVJ1" s="383"/>
      <c r="OVK1" s="383"/>
      <c r="OVL1" s="383"/>
      <c r="OVM1" s="383"/>
      <c r="OVN1" s="383"/>
      <c r="OVO1" s="383"/>
      <c r="OVP1" s="383"/>
      <c r="OVQ1" s="383"/>
      <c r="OVR1" s="383"/>
      <c r="OVS1" s="383"/>
      <c r="OVT1" s="383"/>
      <c r="OVU1" s="383"/>
      <c r="OVV1" s="383"/>
      <c r="OVW1" s="383"/>
      <c r="OVX1" s="383"/>
      <c r="OVY1" s="383"/>
      <c r="OVZ1" s="383"/>
      <c r="OWA1" s="383"/>
      <c r="OWB1" s="383"/>
      <c r="OWC1" s="383"/>
      <c r="OWD1" s="383"/>
      <c r="OWE1" s="383"/>
      <c r="OWF1" s="383"/>
      <c r="OWG1" s="383"/>
      <c r="OWH1" s="383"/>
      <c r="OWI1" s="383"/>
      <c r="OWJ1" s="383"/>
      <c r="OWK1" s="383"/>
      <c r="OWL1" s="383"/>
      <c r="OWM1" s="383"/>
      <c r="OWN1" s="383"/>
      <c r="OWO1" s="383"/>
      <c r="OWP1" s="383"/>
      <c r="OWQ1" s="383"/>
      <c r="OWR1" s="383"/>
      <c r="OWS1" s="383"/>
      <c r="OWT1" s="383"/>
      <c r="OWU1" s="383"/>
      <c r="OWV1" s="383"/>
      <c r="OWW1" s="383"/>
      <c r="OWX1" s="383"/>
      <c r="OWY1" s="383"/>
      <c r="OWZ1" s="383"/>
      <c r="OXA1" s="383"/>
      <c r="OXB1" s="383"/>
      <c r="OXC1" s="383"/>
      <c r="OXD1" s="383"/>
      <c r="OXE1" s="383"/>
      <c r="OXF1" s="383"/>
      <c r="OXG1" s="383"/>
      <c r="OXH1" s="383"/>
      <c r="OXI1" s="383"/>
      <c r="OXJ1" s="383"/>
      <c r="OXK1" s="383"/>
      <c r="OXL1" s="383"/>
      <c r="OXM1" s="383"/>
      <c r="OXN1" s="383"/>
      <c r="OXO1" s="383"/>
      <c r="OXP1" s="383"/>
      <c r="OXQ1" s="383"/>
      <c r="OXR1" s="383"/>
      <c r="OXS1" s="383"/>
      <c r="OXT1" s="383"/>
      <c r="OXU1" s="383"/>
      <c r="OXV1" s="383"/>
      <c r="OXW1" s="383"/>
      <c r="OXX1" s="383"/>
      <c r="OXY1" s="383"/>
      <c r="OXZ1" s="383"/>
      <c r="OYA1" s="383"/>
      <c r="OYB1" s="383"/>
      <c r="OYC1" s="383"/>
      <c r="OYD1" s="383"/>
      <c r="OYE1" s="383"/>
      <c r="OYF1" s="383"/>
      <c r="OYG1" s="383"/>
      <c r="OYH1" s="383"/>
      <c r="OYI1" s="383"/>
      <c r="OYJ1" s="383"/>
      <c r="OYK1" s="383"/>
      <c r="OYL1" s="383"/>
      <c r="OYM1" s="383"/>
      <c r="OYN1" s="383"/>
      <c r="OYO1" s="383"/>
      <c r="OYP1" s="383"/>
      <c r="OYQ1" s="383"/>
      <c r="OYR1" s="383"/>
      <c r="OYS1" s="383"/>
      <c r="OYT1" s="383"/>
      <c r="OYU1" s="383"/>
      <c r="OYV1" s="383"/>
      <c r="OYW1" s="383"/>
      <c r="OYX1" s="383"/>
      <c r="OYY1" s="383"/>
      <c r="OYZ1" s="383"/>
      <c r="OZA1" s="383"/>
      <c r="OZB1" s="383"/>
      <c r="OZC1" s="383"/>
      <c r="OZD1" s="383"/>
      <c r="OZE1" s="383"/>
      <c r="OZF1" s="383"/>
      <c r="OZG1" s="383"/>
      <c r="OZH1" s="383"/>
      <c r="OZI1" s="383"/>
      <c r="OZJ1" s="383"/>
      <c r="OZK1" s="383"/>
      <c r="OZL1" s="383"/>
      <c r="OZM1" s="383"/>
      <c r="OZN1" s="383"/>
      <c r="OZO1" s="383"/>
      <c r="OZP1" s="383"/>
      <c r="OZQ1" s="383"/>
      <c r="OZR1" s="383"/>
      <c r="OZS1" s="383"/>
      <c r="OZT1" s="383"/>
      <c r="OZU1" s="383"/>
      <c r="OZV1" s="383"/>
      <c r="OZW1" s="383"/>
      <c r="OZX1" s="383"/>
      <c r="OZY1" s="383"/>
      <c r="OZZ1" s="383"/>
      <c r="PAA1" s="383"/>
      <c r="PAB1" s="383"/>
      <c r="PAC1" s="383"/>
      <c r="PAD1" s="383"/>
      <c r="PAE1" s="383"/>
      <c r="PAF1" s="383"/>
      <c r="PAG1" s="383"/>
      <c r="PAH1" s="383"/>
      <c r="PAI1" s="383"/>
      <c r="PAJ1" s="383"/>
      <c r="PAK1" s="383"/>
      <c r="PAL1" s="383"/>
      <c r="PAM1" s="383"/>
      <c r="PAN1" s="383"/>
      <c r="PAO1" s="383"/>
      <c r="PAP1" s="383"/>
      <c r="PAQ1" s="383"/>
      <c r="PAR1" s="383"/>
      <c r="PAS1" s="383"/>
      <c r="PAT1" s="383"/>
      <c r="PAU1" s="383"/>
      <c r="PAV1" s="383"/>
      <c r="PAW1" s="383"/>
      <c r="PAX1" s="383"/>
      <c r="PAY1" s="383"/>
      <c r="PAZ1" s="383"/>
      <c r="PBA1" s="383"/>
      <c r="PBB1" s="383"/>
      <c r="PBC1" s="383"/>
      <c r="PBD1" s="383"/>
      <c r="PBE1" s="383"/>
      <c r="PBF1" s="383"/>
      <c r="PBG1" s="383"/>
      <c r="PBH1" s="383"/>
      <c r="PBI1" s="383"/>
      <c r="PBJ1" s="383"/>
      <c r="PBK1" s="383"/>
      <c r="PBL1" s="383"/>
      <c r="PBM1" s="383"/>
      <c r="PBN1" s="383"/>
      <c r="PBO1" s="383"/>
      <c r="PBP1" s="383"/>
      <c r="PBQ1" s="383"/>
      <c r="PBR1" s="383"/>
      <c r="PBS1" s="383"/>
      <c r="PBT1" s="383"/>
      <c r="PBU1" s="383"/>
      <c r="PBV1" s="383"/>
      <c r="PBW1" s="383"/>
      <c r="PBX1" s="383"/>
      <c r="PBY1" s="383"/>
      <c r="PBZ1" s="383"/>
      <c r="PCA1" s="383"/>
      <c r="PCB1" s="383"/>
      <c r="PCC1" s="383"/>
      <c r="PCD1" s="383"/>
      <c r="PCE1" s="383"/>
      <c r="PCF1" s="383"/>
      <c r="PCG1" s="383"/>
      <c r="PCH1" s="383"/>
      <c r="PCI1" s="383"/>
      <c r="PCJ1" s="383"/>
      <c r="PCK1" s="383"/>
      <c r="PCL1" s="383"/>
      <c r="PCM1" s="383"/>
      <c r="PCN1" s="383"/>
      <c r="PCO1" s="383"/>
      <c r="PCP1" s="383"/>
      <c r="PCQ1" s="383"/>
      <c r="PCR1" s="383"/>
      <c r="PCS1" s="383"/>
      <c r="PCT1" s="383"/>
      <c r="PCU1" s="383"/>
      <c r="PCV1" s="383"/>
      <c r="PCW1" s="383"/>
      <c r="PCX1" s="383"/>
      <c r="PCY1" s="383"/>
      <c r="PCZ1" s="383"/>
      <c r="PDA1" s="383"/>
      <c r="PDB1" s="383"/>
      <c r="PDC1" s="383"/>
      <c r="PDD1" s="383"/>
      <c r="PDE1" s="383"/>
      <c r="PDF1" s="383"/>
      <c r="PDG1" s="383"/>
      <c r="PDH1" s="383"/>
      <c r="PDI1" s="383"/>
      <c r="PDJ1" s="383"/>
      <c r="PDK1" s="383"/>
      <c r="PDL1" s="383"/>
      <c r="PDM1" s="383"/>
      <c r="PDN1" s="383"/>
      <c r="PDO1" s="383"/>
      <c r="PDP1" s="383"/>
      <c r="PDQ1" s="383"/>
      <c r="PDR1" s="383"/>
      <c r="PDS1" s="383"/>
      <c r="PDT1" s="383"/>
      <c r="PDU1" s="383"/>
      <c r="PDV1" s="383"/>
      <c r="PDW1" s="383"/>
      <c r="PDX1" s="383"/>
      <c r="PDY1" s="383"/>
      <c r="PDZ1" s="383"/>
      <c r="PEA1" s="383"/>
      <c r="PEB1" s="383"/>
      <c r="PEC1" s="383"/>
      <c r="PED1" s="383"/>
      <c r="PEE1" s="383"/>
      <c r="PEF1" s="383"/>
      <c r="PEG1" s="383"/>
      <c r="PEH1" s="383"/>
      <c r="PEI1" s="383"/>
      <c r="PEJ1" s="383"/>
      <c r="PEK1" s="383"/>
      <c r="PEL1" s="383"/>
      <c r="PEM1" s="383"/>
      <c r="PEN1" s="383"/>
      <c r="PEO1" s="383"/>
      <c r="PEP1" s="383"/>
      <c r="PEQ1" s="383"/>
      <c r="PER1" s="383"/>
      <c r="PES1" s="383"/>
      <c r="PET1" s="383"/>
      <c r="PEU1" s="383"/>
      <c r="PEV1" s="383"/>
      <c r="PEW1" s="383"/>
      <c r="PEX1" s="383"/>
      <c r="PEY1" s="383"/>
      <c r="PEZ1" s="383"/>
      <c r="PFA1" s="383"/>
      <c r="PFB1" s="383"/>
      <c r="PFC1" s="383"/>
      <c r="PFD1" s="383"/>
      <c r="PFE1" s="383"/>
      <c r="PFF1" s="383"/>
      <c r="PFG1" s="383"/>
      <c r="PFH1" s="383"/>
      <c r="PFI1" s="383"/>
      <c r="PFJ1" s="383"/>
      <c r="PFK1" s="383"/>
      <c r="PFL1" s="383"/>
      <c r="PFM1" s="383"/>
      <c r="PFN1" s="383"/>
      <c r="PFO1" s="383"/>
      <c r="PFP1" s="383"/>
      <c r="PFQ1" s="383"/>
      <c r="PFR1" s="383"/>
      <c r="PFS1" s="383"/>
      <c r="PFT1" s="383"/>
      <c r="PFU1" s="383"/>
      <c r="PFV1" s="383"/>
      <c r="PFW1" s="383"/>
      <c r="PFX1" s="383"/>
      <c r="PFY1" s="383"/>
      <c r="PFZ1" s="383"/>
      <c r="PGA1" s="383"/>
      <c r="PGB1" s="383"/>
      <c r="PGC1" s="383"/>
      <c r="PGD1" s="383"/>
      <c r="PGE1" s="383"/>
      <c r="PGF1" s="383"/>
      <c r="PGG1" s="383"/>
      <c r="PGH1" s="383"/>
      <c r="PGI1" s="383"/>
      <c r="PGJ1" s="383"/>
      <c r="PGK1" s="383"/>
      <c r="PGL1" s="383"/>
      <c r="PGM1" s="383"/>
      <c r="PGN1" s="383"/>
      <c r="PGO1" s="383"/>
      <c r="PGP1" s="383"/>
      <c r="PGQ1" s="383"/>
      <c r="PGR1" s="383"/>
      <c r="PGS1" s="383"/>
      <c r="PGT1" s="383"/>
      <c r="PGU1" s="383"/>
      <c r="PGV1" s="383"/>
      <c r="PGW1" s="383"/>
      <c r="PGX1" s="383"/>
      <c r="PGY1" s="383"/>
      <c r="PGZ1" s="383"/>
      <c r="PHA1" s="383"/>
      <c r="PHB1" s="383"/>
      <c r="PHC1" s="383"/>
      <c r="PHD1" s="383"/>
      <c r="PHE1" s="383"/>
      <c r="PHF1" s="383"/>
      <c r="PHG1" s="383"/>
      <c r="PHH1" s="383"/>
      <c r="PHI1" s="383"/>
      <c r="PHJ1" s="383"/>
      <c r="PHK1" s="383"/>
      <c r="PHL1" s="383"/>
      <c r="PHM1" s="383"/>
      <c r="PHN1" s="383"/>
      <c r="PHO1" s="383"/>
      <c r="PHP1" s="383"/>
      <c r="PHQ1" s="383"/>
      <c r="PHR1" s="383"/>
      <c r="PHS1" s="383"/>
      <c r="PHT1" s="383"/>
      <c r="PHU1" s="383"/>
      <c r="PHV1" s="383"/>
      <c r="PHW1" s="383"/>
      <c r="PHX1" s="383"/>
      <c r="PHY1" s="383"/>
      <c r="PHZ1" s="383"/>
      <c r="PIA1" s="383"/>
      <c r="PIB1" s="383"/>
      <c r="PIC1" s="383"/>
      <c r="PID1" s="383"/>
      <c r="PIE1" s="383"/>
      <c r="PIF1" s="383"/>
      <c r="PIG1" s="383"/>
      <c r="PIH1" s="383"/>
      <c r="PII1" s="383"/>
      <c r="PIJ1" s="383"/>
      <c r="PIK1" s="383"/>
      <c r="PIL1" s="383"/>
      <c r="PIM1" s="383"/>
      <c r="PIN1" s="383"/>
      <c r="PIO1" s="383"/>
      <c r="PIP1" s="383"/>
      <c r="PIQ1" s="383"/>
      <c r="PIR1" s="383"/>
      <c r="PIS1" s="383"/>
      <c r="PIT1" s="383"/>
      <c r="PIU1" s="383"/>
      <c r="PIV1" s="383"/>
      <c r="PIW1" s="383"/>
      <c r="PIX1" s="383"/>
      <c r="PIY1" s="383"/>
      <c r="PIZ1" s="383"/>
      <c r="PJA1" s="383"/>
      <c r="PJB1" s="383"/>
      <c r="PJC1" s="383"/>
      <c r="PJD1" s="383"/>
      <c r="PJE1" s="383"/>
      <c r="PJF1" s="383"/>
      <c r="PJG1" s="383"/>
      <c r="PJH1" s="383"/>
      <c r="PJI1" s="383"/>
      <c r="PJJ1" s="383"/>
      <c r="PJK1" s="383"/>
      <c r="PJL1" s="383"/>
      <c r="PJM1" s="383"/>
      <c r="PJN1" s="383"/>
      <c r="PJO1" s="383"/>
      <c r="PJP1" s="383"/>
      <c r="PJQ1" s="383"/>
      <c r="PJR1" s="383"/>
      <c r="PJS1" s="383"/>
      <c r="PJT1" s="383"/>
      <c r="PJU1" s="383"/>
      <c r="PJV1" s="383"/>
      <c r="PJW1" s="383"/>
      <c r="PJX1" s="383"/>
      <c r="PJY1" s="383"/>
      <c r="PJZ1" s="383"/>
      <c r="PKA1" s="383"/>
      <c r="PKB1" s="383"/>
      <c r="PKC1" s="383"/>
      <c r="PKD1" s="383"/>
      <c r="PKE1" s="383"/>
      <c r="PKF1" s="383"/>
      <c r="PKG1" s="383"/>
      <c r="PKH1" s="383"/>
      <c r="PKI1" s="383"/>
      <c r="PKJ1" s="383"/>
      <c r="PKK1" s="383"/>
      <c r="PKL1" s="383"/>
      <c r="PKM1" s="383"/>
      <c r="PKN1" s="383"/>
      <c r="PKO1" s="383"/>
      <c r="PKP1" s="383"/>
      <c r="PKQ1" s="383"/>
      <c r="PKR1" s="383"/>
      <c r="PKS1" s="383"/>
      <c r="PKT1" s="383"/>
      <c r="PKU1" s="383"/>
      <c r="PKV1" s="383"/>
      <c r="PKW1" s="383"/>
      <c r="PKX1" s="383"/>
      <c r="PKY1" s="383"/>
      <c r="PKZ1" s="383"/>
      <c r="PLA1" s="383"/>
      <c r="PLB1" s="383"/>
      <c r="PLC1" s="383"/>
      <c r="PLD1" s="383"/>
      <c r="PLE1" s="383"/>
      <c r="PLF1" s="383"/>
      <c r="PLG1" s="383"/>
      <c r="PLH1" s="383"/>
      <c r="PLI1" s="383"/>
      <c r="PLJ1" s="383"/>
      <c r="PLK1" s="383"/>
      <c r="PLL1" s="383"/>
      <c r="PLM1" s="383"/>
      <c r="PLN1" s="383"/>
      <c r="PLO1" s="383"/>
      <c r="PLP1" s="383"/>
      <c r="PLQ1" s="383"/>
      <c r="PLR1" s="383"/>
      <c r="PLS1" s="383"/>
      <c r="PLT1" s="383"/>
      <c r="PLU1" s="383"/>
      <c r="PLV1" s="383"/>
      <c r="PLW1" s="383"/>
      <c r="PLX1" s="383"/>
      <c r="PLY1" s="383"/>
      <c r="PLZ1" s="383"/>
      <c r="PMA1" s="383"/>
      <c r="PMB1" s="383"/>
      <c r="PMC1" s="383"/>
      <c r="PMD1" s="383"/>
      <c r="PME1" s="383"/>
      <c r="PMF1" s="383"/>
      <c r="PMG1" s="383"/>
      <c r="PMH1" s="383"/>
      <c r="PMI1" s="383"/>
      <c r="PMJ1" s="383"/>
      <c r="PMK1" s="383"/>
      <c r="PML1" s="383"/>
      <c r="PMM1" s="383"/>
      <c r="PMN1" s="383"/>
      <c r="PMO1" s="383"/>
      <c r="PMP1" s="383"/>
      <c r="PMQ1" s="383"/>
      <c r="PMR1" s="383"/>
      <c r="PMS1" s="383"/>
      <c r="PMT1" s="383"/>
      <c r="PMU1" s="383"/>
      <c r="PMV1" s="383"/>
      <c r="PMW1" s="383"/>
      <c r="PMX1" s="383"/>
      <c r="PMY1" s="383"/>
      <c r="PMZ1" s="383"/>
      <c r="PNA1" s="383"/>
      <c r="PNB1" s="383"/>
      <c r="PNC1" s="383"/>
      <c r="PND1" s="383"/>
      <c r="PNE1" s="383"/>
      <c r="PNF1" s="383"/>
      <c r="PNG1" s="383"/>
      <c r="PNH1" s="383"/>
      <c r="PNI1" s="383"/>
      <c r="PNJ1" s="383"/>
      <c r="PNK1" s="383"/>
      <c r="PNL1" s="383"/>
      <c r="PNM1" s="383"/>
      <c r="PNN1" s="383"/>
      <c r="PNO1" s="383"/>
      <c r="PNP1" s="383"/>
      <c r="PNQ1" s="383"/>
      <c r="PNR1" s="383"/>
      <c r="PNS1" s="383"/>
      <c r="PNT1" s="383"/>
      <c r="PNU1" s="383"/>
      <c r="PNV1" s="383"/>
      <c r="PNW1" s="383"/>
      <c r="PNX1" s="383"/>
      <c r="PNY1" s="383"/>
      <c r="PNZ1" s="383"/>
      <c r="POA1" s="383"/>
      <c r="POB1" s="383"/>
      <c r="POC1" s="383"/>
      <c r="POD1" s="383"/>
      <c r="POE1" s="383"/>
      <c r="POF1" s="383"/>
      <c r="POG1" s="383"/>
      <c r="POH1" s="383"/>
      <c r="POI1" s="383"/>
      <c r="POJ1" s="383"/>
      <c r="POK1" s="383"/>
      <c r="POL1" s="383"/>
      <c r="POM1" s="383"/>
      <c r="PON1" s="383"/>
      <c r="POO1" s="383"/>
      <c r="POP1" s="383"/>
      <c r="POQ1" s="383"/>
      <c r="POR1" s="383"/>
      <c r="POS1" s="383"/>
      <c r="POT1" s="383"/>
      <c r="POU1" s="383"/>
      <c r="POV1" s="383"/>
      <c r="POW1" s="383"/>
      <c r="POX1" s="383"/>
      <c r="POY1" s="383"/>
      <c r="POZ1" s="383"/>
      <c r="PPA1" s="383"/>
      <c r="PPB1" s="383"/>
      <c r="PPC1" s="383"/>
      <c r="PPD1" s="383"/>
      <c r="PPE1" s="383"/>
      <c r="PPF1" s="383"/>
      <c r="PPG1" s="383"/>
      <c r="PPH1" s="383"/>
      <c r="PPI1" s="383"/>
      <c r="PPJ1" s="383"/>
      <c r="PPK1" s="383"/>
      <c r="PPL1" s="383"/>
      <c r="PPM1" s="383"/>
      <c r="PPN1" s="383"/>
      <c r="PPO1" s="383"/>
      <c r="PPP1" s="383"/>
      <c r="PPQ1" s="383"/>
      <c r="PPR1" s="383"/>
      <c r="PPS1" s="383"/>
      <c r="PPT1" s="383"/>
      <c r="PPU1" s="383"/>
      <c r="PPV1" s="383"/>
      <c r="PPW1" s="383"/>
      <c r="PPX1" s="383"/>
      <c r="PPY1" s="383"/>
      <c r="PPZ1" s="383"/>
      <c r="PQA1" s="383"/>
      <c r="PQB1" s="383"/>
      <c r="PQC1" s="383"/>
      <c r="PQD1" s="383"/>
      <c r="PQE1" s="383"/>
      <c r="PQF1" s="383"/>
      <c r="PQG1" s="383"/>
      <c r="PQH1" s="383"/>
      <c r="PQI1" s="383"/>
      <c r="PQJ1" s="383"/>
      <c r="PQK1" s="383"/>
      <c r="PQL1" s="383"/>
      <c r="PQM1" s="383"/>
      <c r="PQN1" s="383"/>
      <c r="PQO1" s="383"/>
      <c r="PQP1" s="383"/>
      <c r="PQQ1" s="383"/>
      <c r="PQR1" s="383"/>
      <c r="PQS1" s="383"/>
      <c r="PQT1" s="383"/>
      <c r="PQU1" s="383"/>
      <c r="PQV1" s="383"/>
      <c r="PQW1" s="383"/>
      <c r="PQX1" s="383"/>
      <c r="PQY1" s="383"/>
      <c r="PQZ1" s="383"/>
      <c r="PRA1" s="383"/>
      <c r="PRB1" s="383"/>
      <c r="PRC1" s="383"/>
      <c r="PRD1" s="383"/>
      <c r="PRE1" s="383"/>
      <c r="PRF1" s="383"/>
      <c r="PRG1" s="383"/>
      <c r="PRH1" s="383"/>
      <c r="PRI1" s="383"/>
      <c r="PRJ1" s="383"/>
      <c r="PRK1" s="383"/>
      <c r="PRL1" s="383"/>
      <c r="PRM1" s="383"/>
      <c r="PRN1" s="383"/>
      <c r="PRO1" s="383"/>
      <c r="PRP1" s="383"/>
      <c r="PRQ1" s="383"/>
      <c r="PRR1" s="383"/>
      <c r="PRS1" s="383"/>
      <c r="PRT1" s="383"/>
      <c r="PRU1" s="383"/>
      <c r="PRV1" s="383"/>
      <c r="PRW1" s="383"/>
      <c r="PRX1" s="383"/>
      <c r="PRY1" s="383"/>
      <c r="PRZ1" s="383"/>
      <c r="PSA1" s="383"/>
      <c r="PSB1" s="383"/>
      <c r="PSC1" s="383"/>
      <c r="PSD1" s="383"/>
      <c r="PSE1" s="383"/>
      <c r="PSF1" s="383"/>
      <c r="PSG1" s="383"/>
      <c r="PSH1" s="383"/>
      <c r="PSI1" s="383"/>
      <c r="PSJ1" s="383"/>
      <c r="PSK1" s="383"/>
      <c r="PSL1" s="383"/>
      <c r="PSM1" s="383"/>
      <c r="PSN1" s="383"/>
      <c r="PSO1" s="383"/>
      <c r="PSP1" s="383"/>
      <c r="PSQ1" s="383"/>
      <c r="PSR1" s="383"/>
      <c r="PSS1" s="383"/>
      <c r="PST1" s="383"/>
      <c r="PSU1" s="383"/>
      <c r="PSV1" s="383"/>
      <c r="PSW1" s="383"/>
      <c r="PSX1" s="383"/>
      <c r="PSY1" s="383"/>
      <c r="PSZ1" s="383"/>
      <c r="PTA1" s="383"/>
      <c r="PTB1" s="383"/>
      <c r="PTC1" s="383"/>
      <c r="PTD1" s="383"/>
      <c r="PTE1" s="383"/>
      <c r="PTF1" s="383"/>
      <c r="PTG1" s="383"/>
      <c r="PTH1" s="383"/>
      <c r="PTI1" s="383"/>
      <c r="PTJ1" s="383"/>
      <c r="PTK1" s="383"/>
      <c r="PTL1" s="383"/>
      <c r="PTM1" s="383"/>
      <c r="PTN1" s="383"/>
      <c r="PTO1" s="383"/>
      <c r="PTP1" s="383"/>
      <c r="PTQ1" s="383"/>
      <c r="PTR1" s="383"/>
      <c r="PTS1" s="383"/>
      <c r="PTT1" s="383"/>
      <c r="PTU1" s="383"/>
      <c r="PTV1" s="383"/>
      <c r="PTW1" s="383"/>
      <c r="PTX1" s="383"/>
      <c r="PTY1" s="383"/>
      <c r="PTZ1" s="383"/>
      <c r="PUA1" s="383"/>
      <c r="PUB1" s="383"/>
      <c r="PUC1" s="383"/>
      <c r="PUD1" s="383"/>
      <c r="PUE1" s="383"/>
      <c r="PUF1" s="383"/>
      <c r="PUG1" s="383"/>
      <c r="PUH1" s="383"/>
      <c r="PUI1" s="383"/>
      <c r="PUJ1" s="383"/>
      <c r="PUK1" s="383"/>
      <c r="PUL1" s="383"/>
      <c r="PUM1" s="383"/>
      <c r="PUN1" s="383"/>
      <c r="PUO1" s="383"/>
      <c r="PUP1" s="383"/>
      <c r="PUQ1" s="383"/>
      <c r="PUR1" s="383"/>
      <c r="PUS1" s="383"/>
      <c r="PUT1" s="383"/>
      <c r="PUU1" s="383"/>
      <c r="PUV1" s="383"/>
      <c r="PUW1" s="383"/>
      <c r="PUX1" s="383"/>
      <c r="PUY1" s="383"/>
      <c r="PUZ1" s="383"/>
      <c r="PVA1" s="383"/>
      <c r="PVB1" s="383"/>
      <c r="PVC1" s="383"/>
      <c r="PVD1" s="383"/>
      <c r="PVE1" s="383"/>
      <c r="PVF1" s="383"/>
      <c r="PVG1" s="383"/>
      <c r="PVH1" s="383"/>
      <c r="PVI1" s="383"/>
      <c r="PVJ1" s="383"/>
      <c r="PVK1" s="383"/>
      <c r="PVL1" s="383"/>
      <c r="PVM1" s="383"/>
      <c r="PVN1" s="383"/>
      <c r="PVO1" s="383"/>
      <c r="PVP1" s="383"/>
      <c r="PVQ1" s="383"/>
      <c r="PVR1" s="383"/>
      <c r="PVS1" s="383"/>
      <c r="PVT1" s="383"/>
      <c r="PVU1" s="383"/>
      <c r="PVV1" s="383"/>
      <c r="PVW1" s="383"/>
      <c r="PVX1" s="383"/>
      <c r="PVY1" s="383"/>
      <c r="PVZ1" s="383"/>
      <c r="PWA1" s="383"/>
      <c r="PWB1" s="383"/>
      <c r="PWC1" s="383"/>
      <c r="PWD1" s="383"/>
      <c r="PWE1" s="383"/>
      <c r="PWF1" s="383"/>
      <c r="PWG1" s="383"/>
      <c r="PWH1" s="383"/>
      <c r="PWI1" s="383"/>
      <c r="PWJ1" s="383"/>
      <c r="PWK1" s="383"/>
      <c r="PWL1" s="383"/>
      <c r="PWM1" s="383"/>
      <c r="PWN1" s="383"/>
      <c r="PWO1" s="383"/>
      <c r="PWP1" s="383"/>
      <c r="PWQ1" s="383"/>
      <c r="PWR1" s="383"/>
      <c r="PWS1" s="383"/>
      <c r="PWT1" s="383"/>
      <c r="PWU1" s="383"/>
      <c r="PWV1" s="383"/>
      <c r="PWW1" s="383"/>
      <c r="PWX1" s="383"/>
      <c r="PWY1" s="383"/>
      <c r="PWZ1" s="383"/>
      <c r="PXA1" s="383"/>
      <c r="PXB1" s="383"/>
      <c r="PXC1" s="383"/>
      <c r="PXD1" s="383"/>
      <c r="PXE1" s="383"/>
      <c r="PXF1" s="383"/>
      <c r="PXG1" s="383"/>
      <c r="PXH1" s="383"/>
      <c r="PXI1" s="383"/>
      <c r="PXJ1" s="383"/>
      <c r="PXK1" s="383"/>
      <c r="PXL1" s="383"/>
      <c r="PXM1" s="383"/>
      <c r="PXN1" s="383"/>
      <c r="PXO1" s="383"/>
      <c r="PXP1" s="383"/>
      <c r="PXQ1" s="383"/>
      <c r="PXR1" s="383"/>
      <c r="PXS1" s="383"/>
      <c r="PXT1" s="383"/>
      <c r="PXU1" s="383"/>
      <c r="PXV1" s="383"/>
      <c r="PXW1" s="383"/>
      <c r="PXX1" s="383"/>
      <c r="PXY1" s="383"/>
      <c r="PXZ1" s="383"/>
      <c r="PYA1" s="383"/>
      <c r="PYB1" s="383"/>
      <c r="PYC1" s="383"/>
      <c r="PYD1" s="383"/>
      <c r="PYE1" s="383"/>
      <c r="PYF1" s="383"/>
      <c r="PYG1" s="383"/>
      <c r="PYH1" s="383"/>
      <c r="PYI1" s="383"/>
      <c r="PYJ1" s="383"/>
      <c r="PYK1" s="383"/>
      <c r="PYL1" s="383"/>
      <c r="PYM1" s="383"/>
      <c r="PYN1" s="383"/>
      <c r="PYO1" s="383"/>
      <c r="PYP1" s="383"/>
      <c r="PYQ1" s="383"/>
      <c r="PYR1" s="383"/>
      <c r="PYS1" s="383"/>
      <c r="PYT1" s="383"/>
      <c r="PYU1" s="383"/>
      <c r="PYV1" s="383"/>
      <c r="PYW1" s="383"/>
      <c r="PYX1" s="383"/>
      <c r="PYY1" s="383"/>
      <c r="PYZ1" s="383"/>
      <c r="PZA1" s="383"/>
      <c r="PZB1" s="383"/>
      <c r="PZC1" s="383"/>
      <c r="PZD1" s="383"/>
      <c r="PZE1" s="383"/>
      <c r="PZF1" s="383"/>
      <c r="PZG1" s="383"/>
      <c r="PZH1" s="383"/>
      <c r="PZI1" s="383"/>
      <c r="PZJ1" s="383"/>
      <c r="PZK1" s="383"/>
      <c r="PZL1" s="383"/>
      <c r="PZM1" s="383"/>
      <c r="PZN1" s="383"/>
      <c r="PZO1" s="383"/>
      <c r="PZP1" s="383"/>
      <c r="PZQ1" s="383"/>
      <c r="PZR1" s="383"/>
      <c r="PZS1" s="383"/>
      <c r="PZT1" s="383"/>
      <c r="PZU1" s="383"/>
      <c r="PZV1" s="383"/>
      <c r="PZW1" s="383"/>
      <c r="PZX1" s="383"/>
      <c r="PZY1" s="383"/>
      <c r="PZZ1" s="383"/>
      <c r="QAA1" s="383"/>
      <c r="QAB1" s="383"/>
      <c r="QAC1" s="383"/>
      <c r="QAD1" s="383"/>
      <c r="QAE1" s="383"/>
      <c r="QAF1" s="383"/>
      <c r="QAG1" s="383"/>
      <c r="QAH1" s="383"/>
      <c r="QAI1" s="383"/>
      <c r="QAJ1" s="383"/>
      <c r="QAK1" s="383"/>
      <c r="QAL1" s="383"/>
      <c r="QAM1" s="383"/>
      <c r="QAN1" s="383"/>
      <c r="QAO1" s="383"/>
      <c r="QAP1" s="383"/>
      <c r="QAQ1" s="383"/>
      <c r="QAR1" s="383"/>
      <c r="QAS1" s="383"/>
      <c r="QAT1" s="383"/>
      <c r="QAU1" s="383"/>
      <c r="QAV1" s="383"/>
      <c r="QAW1" s="383"/>
      <c r="QAX1" s="383"/>
      <c r="QAY1" s="383"/>
      <c r="QAZ1" s="383"/>
      <c r="QBA1" s="383"/>
      <c r="QBB1" s="383"/>
      <c r="QBC1" s="383"/>
      <c r="QBD1" s="383"/>
      <c r="QBE1" s="383"/>
      <c r="QBF1" s="383"/>
      <c r="QBG1" s="383"/>
      <c r="QBH1" s="383"/>
      <c r="QBI1" s="383"/>
      <c r="QBJ1" s="383"/>
      <c r="QBK1" s="383"/>
      <c r="QBL1" s="383"/>
      <c r="QBM1" s="383"/>
      <c r="QBN1" s="383"/>
      <c r="QBO1" s="383"/>
      <c r="QBP1" s="383"/>
      <c r="QBQ1" s="383"/>
      <c r="QBR1" s="383"/>
      <c r="QBS1" s="383"/>
      <c r="QBT1" s="383"/>
      <c r="QBU1" s="383"/>
      <c r="QBV1" s="383"/>
      <c r="QBW1" s="383"/>
      <c r="QBX1" s="383"/>
      <c r="QBY1" s="383"/>
      <c r="QBZ1" s="383"/>
      <c r="QCA1" s="383"/>
      <c r="QCB1" s="383"/>
      <c r="QCC1" s="383"/>
      <c r="QCD1" s="383"/>
      <c r="QCE1" s="383"/>
      <c r="QCF1" s="383"/>
      <c r="QCG1" s="383"/>
      <c r="QCH1" s="383"/>
      <c r="QCI1" s="383"/>
      <c r="QCJ1" s="383"/>
      <c r="QCK1" s="383"/>
      <c r="QCL1" s="383"/>
      <c r="QCM1" s="383"/>
      <c r="QCN1" s="383"/>
      <c r="QCO1" s="383"/>
      <c r="QCP1" s="383"/>
      <c r="QCQ1" s="383"/>
      <c r="QCR1" s="383"/>
      <c r="QCS1" s="383"/>
      <c r="QCT1" s="383"/>
      <c r="QCU1" s="383"/>
      <c r="QCV1" s="383"/>
      <c r="QCW1" s="383"/>
      <c r="QCX1" s="383"/>
      <c r="QCY1" s="383"/>
      <c r="QCZ1" s="383"/>
      <c r="QDA1" s="383"/>
      <c r="QDB1" s="383"/>
      <c r="QDC1" s="383"/>
      <c r="QDD1" s="383"/>
      <c r="QDE1" s="383"/>
      <c r="QDF1" s="383"/>
      <c r="QDG1" s="383"/>
      <c r="QDH1" s="383"/>
      <c r="QDI1" s="383"/>
      <c r="QDJ1" s="383"/>
      <c r="QDK1" s="383"/>
      <c r="QDL1" s="383"/>
      <c r="QDM1" s="383"/>
      <c r="QDN1" s="383"/>
      <c r="QDO1" s="383"/>
      <c r="QDP1" s="383"/>
      <c r="QDQ1" s="383"/>
      <c r="QDR1" s="383"/>
      <c r="QDS1" s="383"/>
      <c r="QDT1" s="383"/>
      <c r="QDU1" s="383"/>
      <c r="QDV1" s="383"/>
      <c r="QDW1" s="383"/>
      <c r="QDX1" s="383"/>
      <c r="QDY1" s="383"/>
      <c r="QDZ1" s="383"/>
      <c r="QEA1" s="383"/>
      <c r="QEB1" s="383"/>
      <c r="QEC1" s="383"/>
      <c r="QED1" s="383"/>
      <c r="QEE1" s="383"/>
      <c r="QEF1" s="383"/>
      <c r="QEG1" s="383"/>
      <c r="QEH1" s="383"/>
      <c r="QEI1" s="383"/>
      <c r="QEJ1" s="383"/>
      <c r="QEK1" s="383"/>
      <c r="QEL1" s="383"/>
      <c r="QEM1" s="383"/>
      <c r="QEN1" s="383"/>
      <c r="QEO1" s="383"/>
      <c r="QEP1" s="383"/>
      <c r="QEQ1" s="383"/>
      <c r="QER1" s="383"/>
      <c r="QES1" s="383"/>
      <c r="QET1" s="383"/>
      <c r="QEU1" s="383"/>
      <c r="QEV1" s="383"/>
      <c r="QEW1" s="383"/>
      <c r="QEX1" s="383"/>
      <c r="QEY1" s="383"/>
      <c r="QEZ1" s="383"/>
      <c r="QFA1" s="383"/>
      <c r="QFB1" s="383"/>
      <c r="QFC1" s="383"/>
      <c r="QFD1" s="383"/>
      <c r="QFE1" s="383"/>
      <c r="QFF1" s="383"/>
      <c r="QFG1" s="383"/>
      <c r="QFH1" s="383"/>
      <c r="QFI1" s="383"/>
      <c r="QFJ1" s="383"/>
      <c r="QFK1" s="383"/>
      <c r="QFL1" s="383"/>
      <c r="QFM1" s="383"/>
      <c r="QFN1" s="383"/>
      <c r="QFO1" s="383"/>
      <c r="QFP1" s="383"/>
      <c r="QFQ1" s="383"/>
      <c r="QFR1" s="383"/>
      <c r="QFS1" s="383"/>
      <c r="QFT1" s="383"/>
      <c r="QFU1" s="383"/>
      <c r="QFV1" s="383"/>
      <c r="QFW1" s="383"/>
      <c r="QFX1" s="383"/>
      <c r="QFY1" s="383"/>
      <c r="QFZ1" s="383"/>
      <c r="QGA1" s="383"/>
      <c r="QGB1" s="383"/>
      <c r="QGC1" s="383"/>
      <c r="QGD1" s="383"/>
      <c r="QGE1" s="383"/>
      <c r="QGF1" s="383"/>
      <c r="QGG1" s="383"/>
      <c r="QGH1" s="383"/>
      <c r="QGI1" s="383"/>
      <c r="QGJ1" s="383"/>
      <c r="QGK1" s="383"/>
      <c r="QGL1" s="383"/>
      <c r="QGM1" s="383"/>
      <c r="QGN1" s="383"/>
      <c r="QGO1" s="383"/>
      <c r="QGP1" s="383"/>
      <c r="QGQ1" s="383"/>
      <c r="QGR1" s="383"/>
      <c r="QGS1" s="383"/>
      <c r="QGT1" s="383"/>
      <c r="QGU1" s="383"/>
      <c r="QGV1" s="383"/>
      <c r="QGW1" s="383"/>
      <c r="QGX1" s="383"/>
      <c r="QGY1" s="383"/>
      <c r="QGZ1" s="383"/>
      <c r="QHA1" s="383"/>
      <c r="QHB1" s="383"/>
      <c r="QHC1" s="383"/>
      <c r="QHD1" s="383"/>
      <c r="QHE1" s="383"/>
      <c r="QHF1" s="383"/>
      <c r="QHG1" s="383"/>
      <c r="QHH1" s="383"/>
      <c r="QHI1" s="383"/>
      <c r="QHJ1" s="383"/>
      <c r="QHK1" s="383"/>
      <c r="QHL1" s="383"/>
      <c r="QHM1" s="383"/>
      <c r="QHN1" s="383"/>
      <c r="QHO1" s="383"/>
      <c r="QHP1" s="383"/>
      <c r="QHQ1" s="383"/>
      <c r="QHR1" s="383"/>
      <c r="QHS1" s="383"/>
      <c r="QHT1" s="383"/>
      <c r="QHU1" s="383"/>
      <c r="QHV1" s="383"/>
      <c r="QHW1" s="383"/>
      <c r="QHX1" s="383"/>
      <c r="QHY1" s="383"/>
      <c r="QHZ1" s="383"/>
      <c r="QIA1" s="383"/>
      <c r="QIB1" s="383"/>
      <c r="QIC1" s="383"/>
      <c r="QID1" s="383"/>
      <c r="QIE1" s="383"/>
      <c r="QIF1" s="383"/>
      <c r="QIG1" s="383"/>
      <c r="QIH1" s="383"/>
      <c r="QII1" s="383"/>
      <c r="QIJ1" s="383"/>
      <c r="QIK1" s="383"/>
      <c r="QIL1" s="383"/>
      <c r="QIM1" s="383"/>
      <c r="QIN1" s="383"/>
      <c r="QIO1" s="383"/>
      <c r="QIP1" s="383"/>
      <c r="QIQ1" s="383"/>
      <c r="QIR1" s="383"/>
      <c r="QIS1" s="383"/>
      <c r="QIT1" s="383"/>
      <c r="QIU1" s="383"/>
      <c r="QIV1" s="383"/>
      <c r="QIW1" s="383"/>
      <c r="QIX1" s="383"/>
      <c r="QIY1" s="383"/>
      <c r="QIZ1" s="383"/>
      <c r="QJA1" s="383"/>
      <c r="QJB1" s="383"/>
      <c r="QJC1" s="383"/>
      <c r="QJD1" s="383"/>
      <c r="QJE1" s="383"/>
      <c r="QJF1" s="383"/>
      <c r="QJG1" s="383"/>
      <c r="QJH1" s="383"/>
      <c r="QJI1" s="383"/>
      <c r="QJJ1" s="383"/>
      <c r="QJK1" s="383"/>
      <c r="QJL1" s="383"/>
      <c r="QJM1" s="383"/>
      <c r="QJN1" s="383"/>
      <c r="QJO1" s="383"/>
      <c r="QJP1" s="383"/>
      <c r="QJQ1" s="383"/>
      <c r="QJR1" s="383"/>
      <c r="QJS1" s="383"/>
      <c r="QJT1" s="383"/>
      <c r="QJU1" s="383"/>
      <c r="QJV1" s="383"/>
      <c r="QJW1" s="383"/>
      <c r="QJX1" s="383"/>
      <c r="QJY1" s="383"/>
      <c r="QJZ1" s="383"/>
      <c r="QKA1" s="383"/>
      <c r="QKB1" s="383"/>
      <c r="QKC1" s="383"/>
      <c r="QKD1" s="383"/>
      <c r="QKE1" s="383"/>
      <c r="QKF1" s="383"/>
      <c r="QKG1" s="383"/>
      <c r="QKH1" s="383"/>
      <c r="QKI1" s="383"/>
      <c r="QKJ1" s="383"/>
      <c r="QKK1" s="383"/>
      <c r="QKL1" s="383"/>
      <c r="QKM1" s="383"/>
      <c r="QKN1" s="383"/>
      <c r="QKO1" s="383"/>
      <c r="QKP1" s="383"/>
      <c r="QKQ1" s="383"/>
      <c r="QKR1" s="383"/>
      <c r="QKS1" s="383"/>
      <c r="QKT1" s="383"/>
      <c r="QKU1" s="383"/>
      <c r="QKV1" s="383"/>
      <c r="QKW1" s="383"/>
      <c r="QKX1" s="383"/>
      <c r="QKY1" s="383"/>
      <c r="QKZ1" s="383"/>
      <c r="QLA1" s="383"/>
      <c r="QLB1" s="383"/>
      <c r="QLC1" s="383"/>
      <c r="QLD1" s="383"/>
      <c r="QLE1" s="383"/>
      <c r="QLF1" s="383"/>
      <c r="QLG1" s="383"/>
      <c r="QLH1" s="383"/>
      <c r="QLI1" s="383"/>
      <c r="QLJ1" s="383"/>
      <c r="QLK1" s="383"/>
      <c r="QLL1" s="383"/>
      <c r="QLM1" s="383"/>
      <c r="QLN1" s="383"/>
      <c r="QLO1" s="383"/>
      <c r="QLP1" s="383"/>
      <c r="QLQ1" s="383"/>
      <c r="QLR1" s="383"/>
      <c r="QLS1" s="383"/>
      <c r="QLT1" s="383"/>
      <c r="QLU1" s="383"/>
      <c r="QLV1" s="383"/>
      <c r="QLW1" s="383"/>
      <c r="QLX1" s="383"/>
      <c r="QLY1" s="383"/>
      <c r="QLZ1" s="383"/>
      <c r="QMA1" s="383"/>
      <c r="QMB1" s="383"/>
      <c r="QMC1" s="383"/>
      <c r="QMD1" s="383"/>
      <c r="QME1" s="383"/>
      <c r="QMF1" s="383"/>
      <c r="QMG1" s="383"/>
      <c r="QMH1" s="383"/>
      <c r="QMI1" s="383"/>
      <c r="QMJ1" s="383"/>
      <c r="QMK1" s="383"/>
      <c r="QML1" s="383"/>
      <c r="QMM1" s="383"/>
      <c r="QMN1" s="383"/>
      <c r="QMO1" s="383"/>
      <c r="QMP1" s="383"/>
      <c r="QMQ1" s="383"/>
      <c r="QMR1" s="383"/>
      <c r="QMS1" s="383"/>
      <c r="QMT1" s="383"/>
      <c r="QMU1" s="383"/>
      <c r="QMV1" s="383"/>
      <c r="QMW1" s="383"/>
      <c r="QMX1" s="383"/>
      <c r="QMY1" s="383"/>
      <c r="QMZ1" s="383"/>
      <c r="QNA1" s="383"/>
      <c r="QNB1" s="383"/>
      <c r="QNC1" s="383"/>
      <c r="QND1" s="383"/>
      <c r="QNE1" s="383"/>
      <c r="QNF1" s="383"/>
      <c r="QNG1" s="383"/>
      <c r="QNH1" s="383"/>
      <c r="QNI1" s="383"/>
      <c r="QNJ1" s="383"/>
      <c r="QNK1" s="383"/>
      <c r="QNL1" s="383"/>
      <c r="QNM1" s="383"/>
      <c r="QNN1" s="383"/>
      <c r="QNO1" s="383"/>
      <c r="QNP1" s="383"/>
      <c r="QNQ1" s="383"/>
      <c r="QNR1" s="383"/>
      <c r="QNS1" s="383"/>
      <c r="QNT1" s="383"/>
      <c r="QNU1" s="383"/>
      <c r="QNV1" s="383"/>
      <c r="QNW1" s="383"/>
      <c r="QNX1" s="383"/>
      <c r="QNY1" s="383"/>
      <c r="QNZ1" s="383"/>
      <c r="QOA1" s="383"/>
      <c r="QOB1" s="383"/>
      <c r="QOC1" s="383"/>
      <c r="QOD1" s="383"/>
      <c r="QOE1" s="383"/>
      <c r="QOF1" s="383"/>
      <c r="QOG1" s="383"/>
      <c r="QOH1" s="383"/>
      <c r="QOI1" s="383"/>
      <c r="QOJ1" s="383"/>
      <c r="QOK1" s="383"/>
      <c r="QOL1" s="383"/>
      <c r="QOM1" s="383"/>
      <c r="QON1" s="383"/>
      <c r="QOO1" s="383"/>
      <c r="QOP1" s="383"/>
      <c r="QOQ1" s="383"/>
      <c r="QOR1" s="383"/>
      <c r="QOS1" s="383"/>
      <c r="QOT1" s="383"/>
      <c r="QOU1" s="383"/>
      <c r="QOV1" s="383"/>
      <c r="QOW1" s="383"/>
      <c r="QOX1" s="383"/>
      <c r="QOY1" s="383"/>
      <c r="QOZ1" s="383"/>
      <c r="QPA1" s="383"/>
      <c r="QPB1" s="383"/>
      <c r="QPC1" s="383"/>
      <c r="QPD1" s="383"/>
      <c r="QPE1" s="383"/>
      <c r="QPF1" s="383"/>
      <c r="QPG1" s="383"/>
      <c r="QPH1" s="383"/>
      <c r="QPI1" s="383"/>
      <c r="QPJ1" s="383"/>
      <c r="QPK1" s="383"/>
      <c r="QPL1" s="383"/>
      <c r="QPM1" s="383"/>
      <c r="QPN1" s="383"/>
      <c r="QPO1" s="383"/>
      <c r="QPP1" s="383"/>
      <c r="QPQ1" s="383"/>
      <c r="QPR1" s="383"/>
      <c r="QPS1" s="383"/>
      <c r="QPT1" s="383"/>
      <c r="QPU1" s="383"/>
      <c r="QPV1" s="383"/>
      <c r="QPW1" s="383"/>
      <c r="QPX1" s="383"/>
      <c r="QPY1" s="383"/>
      <c r="QPZ1" s="383"/>
      <c r="QQA1" s="383"/>
      <c r="QQB1" s="383"/>
      <c r="QQC1" s="383"/>
      <c r="QQD1" s="383"/>
      <c r="QQE1" s="383"/>
      <c r="QQF1" s="383"/>
      <c r="QQG1" s="383"/>
      <c r="QQH1" s="383"/>
      <c r="QQI1" s="383"/>
      <c r="QQJ1" s="383"/>
      <c r="QQK1" s="383"/>
      <c r="QQL1" s="383"/>
      <c r="QQM1" s="383"/>
      <c r="QQN1" s="383"/>
      <c r="QQO1" s="383"/>
      <c r="QQP1" s="383"/>
      <c r="QQQ1" s="383"/>
      <c r="QQR1" s="383"/>
      <c r="QQS1" s="383"/>
      <c r="QQT1" s="383"/>
      <c r="QQU1" s="383"/>
      <c r="QQV1" s="383"/>
      <c r="QQW1" s="383"/>
      <c r="QQX1" s="383"/>
      <c r="QQY1" s="383"/>
      <c r="QQZ1" s="383"/>
      <c r="QRA1" s="383"/>
      <c r="QRB1" s="383"/>
      <c r="QRC1" s="383"/>
      <c r="QRD1" s="383"/>
      <c r="QRE1" s="383"/>
      <c r="QRF1" s="383"/>
      <c r="QRG1" s="383"/>
      <c r="QRH1" s="383"/>
      <c r="QRI1" s="383"/>
      <c r="QRJ1" s="383"/>
      <c r="QRK1" s="383"/>
      <c r="QRL1" s="383"/>
      <c r="QRM1" s="383"/>
      <c r="QRN1" s="383"/>
      <c r="QRO1" s="383"/>
      <c r="QRP1" s="383"/>
      <c r="QRQ1" s="383"/>
      <c r="QRR1" s="383"/>
      <c r="QRS1" s="383"/>
      <c r="QRT1" s="383"/>
      <c r="QRU1" s="383"/>
      <c r="QRV1" s="383"/>
      <c r="QRW1" s="383"/>
      <c r="QRX1" s="383"/>
      <c r="QRY1" s="383"/>
      <c r="QRZ1" s="383"/>
      <c r="QSA1" s="383"/>
      <c r="QSB1" s="383"/>
      <c r="QSC1" s="383"/>
      <c r="QSD1" s="383"/>
      <c r="QSE1" s="383"/>
      <c r="QSF1" s="383"/>
      <c r="QSG1" s="383"/>
      <c r="QSH1" s="383"/>
      <c r="QSI1" s="383"/>
      <c r="QSJ1" s="383"/>
      <c r="QSK1" s="383"/>
      <c r="QSL1" s="383"/>
      <c r="QSM1" s="383"/>
      <c r="QSN1" s="383"/>
      <c r="QSO1" s="383"/>
      <c r="QSP1" s="383"/>
      <c r="QSQ1" s="383"/>
      <c r="QSR1" s="383"/>
      <c r="QSS1" s="383"/>
      <c r="QST1" s="383"/>
      <c r="QSU1" s="383"/>
      <c r="QSV1" s="383"/>
      <c r="QSW1" s="383"/>
      <c r="QSX1" s="383"/>
      <c r="QSY1" s="383"/>
      <c r="QSZ1" s="383"/>
      <c r="QTA1" s="383"/>
      <c r="QTB1" s="383"/>
      <c r="QTC1" s="383"/>
      <c r="QTD1" s="383"/>
      <c r="QTE1" s="383"/>
      <c r="QTF1" s="383"/>
      <c r="QTG1" s="383"/>
      <c r="QTH1" s="383"/>
      <c r="QTI1" s="383"/>
      <c r="QTJ1" s="383"/>
      <c r="QTK1" s="383"/>
      <c r="QTL1" s="383"/>
      <c r="QTM1" s="383"/>
      <c r="QTN1" s="383"/>
      <c r="QTO1" s="383"/>
      <c r="QTP1" s="383"/>
      <c r="QTQ1" s="383"/>
      <c r="QTR1" s="383"/>
      <c r="QTS1" s="383"/>
      <c r="QTT1" s="383"/>
      <c r="QTU1" s="383"/>
      <c r="QTV1" s="383"/>
      <c r="QTW1" s="383"/>
      <c r="QTX1" s="383"/>
      <c r="QTY1" s="383"/>
      <c r="QTZ1" s="383"/>
      <c r="QUA1" s="383"/>
      <c r="QUB1" s="383"/>
      <c r="QUC1" s="383"/>
      <c r="QUD1" s="383"/>
      <c r="QUE1" s="383"/>
      <c r="QUF1" s="383"/>
      <c r="QUG1" s="383"/>
      <c r="QUH1" s="383"/>
      <c r="QUI1" s="383"/>
      <c r="QUJ1" s="383"/>
      <c r="QUK1" s="383"/>
      <c r="QUL1" s="383"/>
      <c r="QUM1" s="383"/>
      <c r="QUN1" s="383"/>
      <c r="QUO1" s="383"/>
      <c r="QUP1" s="383"/>
      <c r="QUQ1" s="383"/>
      <c r="QUR1" s="383"/>
      <c r="QUS1" s="383"/>
      <c r="QUT1" s="383"/>
      <c r="QUU1" s="383"/>
      <c r="QUV1" s="383"/>
      <c r="QUW1" s="383"/>
      <c r="QUX1" s="383"/>
      <c r="QUY1" s="383"/>
      <c r="QUZ1" s="383"/>
      <c r="QVA1" s="383"/>
      <c r="QVB1" s="383"/>
      <c r="QVC1" s="383"/>
      <c r="QVD1" s="383"/>
      <c r="QVE1" s="383"/>
      <c r="QVF1" s="383"/>
      <c r="QVG1" s="383"/>
      <c r="QVH1" s="383"/>
      <c r="QVI1" s="383"/>
      <c r="QVJ1" s="383"/>
      <c r="QVK1" s="383"/>
      <c r="QVL1" s="383"/>
      <c r="QVM1" s="383"/>
      <c r="QVN1" s="383"/>
      <c r="QVO1" s="383"/>
      <c r="QVP1" s="383"/>
      <c r="QVQ1" s="383"/>
      <c r="QVR1" s="383"/>
      <c r="QVS1" s="383"/>
      <c r="QVT1" s="383"/>
      <c r="QVU1" s="383"/>
      <c r="QVV1" s="383"/>
      <c r="QVW1" s="383"/>
      <c r="QVX1" s="383"/>
      <c r="QVY1" s="383"/>
      <c r="QVZ1" s="383"/>
      <c r="QWA1" s="383"/>
      <c r="QWB1" s="383"/>
      <c r="QWC1" s="383"/>
      <c r="QWD1" s="383"/>
      <c r="QWE1" s="383"/>
      <c r="QWF1" s="383"/>
      <c r="QWG1" s="383"/>
      <c r="QWH1" s="383"/>
      <c r="QWI1" s="383"/>
      <c r="QWJ1" s="383"/>
      <c r="QWK1" s="383"/>
      <c r="QWL1" s="383"/>
      <c r="QWM1" s="383"/>
      <c r="QWN1" s="383"/>
      <c r="QWO1" s="383"/>
      <c r="QWP1" s="383"/>
      <c r="QWQ1" s="383"/>
      <c r="QWR1" s="383"/>
      <c r="QWS1" s="383"/>
      <c r="QWT1" s="383"/>
      <c r="QWU1" s="383"/>
      <c r="QWV1" s="383"/>
      <c r="QWW1" s="383"/>
      <c r="QWX1" s="383"/>
      <c r="QWY1" s="383"/>
      <c r="QWZ1" s="383"/>
      <c r="QXA1" s="383"/>
      <c r="QXB1" s="383"/>
      <c r="QXC1" s="383"/>
      <c r="QXD1" s="383"/>
      <c r="QXE1" s="383"/>
      <c r="QXF1" s="383"/>
      <c r="QXG1" s="383"/>
      <c r="QXH1" s="383"/>
      <c r="QXI1" s="383"/>
      <c r="QXJ1" s="383"/>
      <c r="QXK1" s="383"/>
      <c r="QXL1" s="383"/>
      <c r="QXM1" s="383"/>
      <c r="QXN1" s="383"/>
      <c r="QXO1" s="383"/>
      <c r="QXP1" s="383"/>
      <c r="QXQ1" s="383"/>
      <c r="QXR1" s="383"/>
      <c r="QXS1" s="383"/>
      <c r="QXT1" s="383"/>
      <c r="QXU1" s="383"/>
      <c r="QXV1" s="383"/>
      <c r="QXW1" s="383"/>
      <c r="QXX1" s="383"/>
      <c r="QXY1" s="383"/>
      <c r="QXZ1" s="383"/>
      <c r="QYA1" s="383"/>
      <c r="QYB1" s="383"/>
      <c r="QYC1" s="383"/>
      <c r="QYD1" s="383"/>
      <c r="QYE1" s="383"/>
      <c r="QYF1" s="383"/>
      <c r="QYG1" s="383"/>
      <c r="QYH1" s="383"/>
      <c r="QYI1" s="383"/>
      <c r="QYJ1" s="383"/>
      <c r="QYK1" s="383"/>
      <c r="QYL1" s="383"/>
      <c r="QYM1" s="383"/>
      <c r="QYN1" s="383"/>
      <c r="QYO1" s="383"/>
      <c r="QYP1" s="383"/>
      <c r="QYQ1" s="383"/>
      <c r="QYR1" s="383"/>
      <c r="QYS1" s="383"/>
      <c r="QYT1" s="383"/>
      <c r="QYU1" s="383"/>
      <c r="QYV1" s="383"/>
      <c r="QYW1" s="383"/>
      <c r="QYX1" s="383"/>
      <c r="QYY1" s="383"/>
      <c r="QYZ1" s="383"/>
      <c r="QZA1" s="383"/>
      <c r="QZB1" s="383"/>
      <c r="QZC1" s="383"/>
      <c r="QZD1" s="383"/>
      <c r="QZE1" s="383"/>
      <c r="QZF1" s="383"/>
      <c r="QZG1" s="383"/>
      <c r="QZH1" s="383"/>
      <c r="QZI1" s="383"/>
      <c r="QZJ1" s="383"/>
      <c r="QZK1" s="383"/>
      <c r="QZL1" s="383"/>
      <c r="QZM1" s="383"/>
      <c r="QZN1" s="383"/>
      <c r="QZO1" s="383"/>
      <c r="QZP1" s="383"/>
      <c r="QZQ1" s="383"/>
      <c r="QZR1" s="383"/>
      <c r="QZS1" s="383"/>
      <c r="QZT1" s="383"/>
      <c r="QZU1" s="383"/>
      <c r="QZV1" s="383"/>
      <c r="QZW1" s="383"/>
      <c r="QZX1" s="383"/>
      <c r="QZY1" s="383"/>
      <c r="QZZ1" s="383"/>
      <c r="RAA1" s="383"/>
      <c r="RAB1" s="383"/>
      <c r="RAC1" s="383"/>
      <c r="RAD1" s="383"/>
      <c r="RAE1" s="383"/>
      <c r="RAF1" s="383"/>
      <c r="RAG1" s="383"/>
      <c r="RAH1" s="383"/>
      <c r="RAI1" s="383"/>
      <c r="RAJ1" s="383"/>
      <c r="RAK1" s="383"/>
      <c r="RAL1" s="383"/>
      <c r="RAM1" s="383"/>
      <c r="RAN1" s="383"/>
      <c r="RAO1" s="383"/>
      <c r="RAP1" s="383"/>
      <c r="RAQ1" s="383"/>
      <c r="RAR1" s="383"/>
      <c r="RAS1" s="383"/>
      <c r="RAT1" s="383"/>
      <c r="RAU1" s="383"/>
      <c r="RAV1" s="383"/>
      <c r="RAW1" s="383"/>
      <c r="RAX1" s="383"/>
      <c r="RAY1" s="383"/>
      <c r="RAZ1" s="383"/>
      <c r="RBA1" s="383"/>
      <c r="RBB1" s="383"/>
      <c r="RBC1" s="383"/>
      <c r="RBD1" s="383"/>
      <c r="RBE1" s="383"/>
      <c r="RBF1" s="383"/>
      <c r="RBG1" s="383"/>
      <c r="RBH1" s="383"/>
      <c r="RBI1" s="383"/>
      <c r="RBJ1" s="383"/>
      <c r="RBK1" s="383"/>
      <c r="RBL1" s="383"/>
      <c r="RBM1" s="383"/>
      <c r="RBN1" s="383"/>
      <c r="RBO1" s="383"/>
      <c r="RBP1" s="383"/>
      <c r="RBQ1" s="383"/>
      <c r="RBR1" s="383"/>
      <c r="RBS1" s="383"/>
      <c r="RBT1" s="383"/>
      <c r="RBU1" s="383"/>
      <c r="RBV1" s="383"/>
      <c r="RBW1" s="383"/>
      <c r="RBX1" s="383"/>
      <c r="RBY1" s="383"/>
      <c r="RBZ1" s="383"/>
      <c r="RCA1" s="383"/>
      <c r="RCB1" s="383"/>
      <c r="RCC1" s="383"/>
      <c r="RCD1" s="383"/>
      <c r="RCE1" s="383"/>
      <c r="RCF1" s="383"/>
      <c r="RCG1" s="383"/>
      <c r="RCH1" s="383"/>
      <c r="RCI1" s="383"/>
      <c r="RCJ1" s="383"/>
      <c r="RCK1" s="383"/>
      <c r="RCL1" s="383"/>
      <c r="RCM1" s="383"/>
      <c r="RCN1" s="383"/>
      <c r="RCO1" s="383"/>
      <c r="RCP1" s="383"/>
      <c r="RCQ1" s="383"/>
      <c r="RCR1" s="383"/>
      <c r="RCS1" s="383"/>
      <c r="RCT1" s="383"/>
      <c r="RCU1" s="383"/>
      <c r="RCV1" s="383"/>
      <c r="RCW1" s="383"/>
      <c r="RCX1" s="383"/>
      <c r="RCY1" s="383"/>
      <c r="RCZ1" s="383"/>
      <c r="RDA1" s="383"/>
      <c r="RDB1" s="383"/>
      <c r="RDC1" s="383"/>
      <c r="RDD1" s="383"/>
      <c r="RDE1" s="383"/>
      <c r="RDF1" s="383"/>
      <c r="RDG1" s="383"/>
      <c r="RDH1" s="383"/>
      <c r="RDI1" s="383"/>
      <c r="RDJ1" s="383"/>
      <c r="RDK1" s="383"/>
      <c r="RDL1" s="383"/>
      <c r="RDM1" s="383"/>
      <c r="RDN1" s="383"/>
      <c r="RDO1" s="383"/>
      <c r="RDP1" s="383"/>
      <c r="RDQ1" s="383"/>
      <c r="RDR1" s="383"/>
      <c r="RDS1" s="383"/>
      <c r="RDT1" s="383"/>
      <c r="RDU1" s="383"/>
      <c r="RDV1" s="383"/>
      <c r="RDW1" s="383"/>
      <c r="RDX1" s="383"/>
      <c r="RDY1" s="383"/>
      <c r="RDZ1" s="383"/>
      <c r="REA1" s="383"/>
      <c r="REB1" s="383"/>
      <c r="REC1" s="383"/>
      <c r="RED1" s="383"/>
      <c r="REE1" s="383"/>
      <c r="REF1" s="383"/>
      <c r="REG1" s="383"/>
      <c r="REH1" s="383"/>
      <c r="REI1" s="383"/>
      <c r="REJ1" s="383"/>
      <c r="REK1" s="383"/>
      <c r="REL1" s="383"/>
      <c r="REM1" s="383"/>
      <c r="REN1" s="383"/>
      <c r="REO1" s="383"/>
      <c r="REP1" s="383"/>
      <c r="REQ1" s="383"/>
      <c r="RER1" s="383"/>
      <c r="RES1" s="383"/>
      <c r="RET1" s="383"/>
      <c r="REU1" s="383"/>
      <c r="REV1" s="383"/>
      <c r="REW1" s="383"/>
      <c r="REX1" s="383"/>
      <c r="REY1" s="383"/>
      <c r="REZ1" s="383"/>
      <c r="RFA1" s="383"/>
      <c r="RFB1" s="383"/>
      <c r="RFC1" s="383"/>
      <c r="RFD1" s="383"/>
      <c r="RFE1" s="383"/>
      <c r="RFF1" s="383"/>
      <c r="RFG1" s="383"/>
      <c r="RFH1" s="383"/>
      <c r="RFI1" s="383"/>
      <c r="RFJ1" s="383"/>
      <c r="RFK1" s="383"/>
      <c r="RFL1" s="383"/>
      <c r="RFM1" s="383"/>
      <c r="RFN1" s="383"/>
      <c r="RFO1" s="383"/>
      <c r="RFP1" s="383"/>
      <c r="RFQ1" s="383"/>
      <c r="RFR1" s="383"/>
      <c r="RFS1" s="383"/>
      <c r="RFT1" s="383"/>
      <c r="RFU1" s="383"/>
      <c r="RFV1" s="383"/>
      <c r="RFW1" s="383"/>
      <c r="RFX1" s="383"/>
      <c r="RFY1" s="383"/>
      <c r="RFZ1" s="383"/>
      <c r="RGA1" s="383"/>
      <c r="RGB1" s="383"/>
      <c r="RGC1" s="383"/>
      <c r="RGD1" s="383"/>
      <c r="RGE1" s="383"/>
      <c r="RGF1" s="383"/>
      <c r="RGG1" s="383"/>
      <c r="RGH1" s="383"/>
      <c r="RGI1" s="383"/>
      <c r="RGJ1" s="383"/>
      <c r="RGK1" s="383"/>
      <c r="RGL1" s="383"/>
      <c r="RGM1" s="383"/>
      <c r="RGN1" s="383"/>
      <c r="RGO1" s="383"/>
      <c r="RGP1" s="383"/>
      <c r="RGQ1" s="383"/>
      <c r="RGR1" s="383"/>
      <c r="RGS1" s="383"/>
      <c r="RGT1" s="383"/>
      <c r="RGU1" s="383"/>
      <c r="RGV1" s="383"/>
      <c r="RGW1" s="383"/>
      <c r="RGX1" s="383"/>
      <c r="RGY1" s="383"/>
      <c r="RGZ1" s="383"/>
      <c r="RHA1" s="383"/>
      <c r="RHB1" s="383"/>
      <c r="RHC1" s="383"/>
      <c r="RHD1" s="383"/>
      <c r="RHE1" s="383"/>
      <c r="RHF1" s="383"/>
      <c r="RHG1" s="383"/>
      <c r="RHH1" s="383"/>
      <c r="RHI1" s="383"/>
      <c r="RHJ1" s="383"/>
      <c r="RHK1" s="383"/>
      <c r="RHL1" s="383"/>
      <c r="RHM1" s="383"/>
      <c r="RHN1" s="383"/>
      <c r="RHO1" s="383"/>
      <c r="RHP1" s="383"/>
      <c r="RHQ1" s="383"/>
      <c r="RHR1" s="383"/>
      <c r="RHS1" s="383"/>
      <c r="RHT1" s="383"/>
      <c r="RHU1" s="383"/>
      <c r="RHV1" s="383"/>
      <c r="RHW1" s="383"/>
      <c r="RHX1" s="383"/>
      <c r="RHY1" s="383"/>
      <c r="RHZ1" s="383"/>
      <c r="RIA1" s="383"/>
      <c r="RIB1" s="383"/>
      <c r="RIC1" s="383"/>
      <c r="RID1" s="383"/>
      <c r="RIE1" s="383"/>
      <c r="RIF1" s="383"/>
      <c r="RIG1" s="383"/>
      <c r="RIH1" s="383"/>
      <c r="RII1" s="383"/>
      <c r="RIJ1" s="383"/>
      <c r="RIK1" s="383"/>
      <c r="RIL1" s="383"/>
      <c r="RIM1" s="383"/>
      <c r="RIN1" s="383"/>
      <c r="RIO1" s="383"/>
      <c r="RIP1" s="383"/>
      <c r="RIQ1" s="383"/>
      <c r="RIR1" s="383"/>
      <c r="RIS1" s="383"/>
      <c r="RIT1" s="383"/>
      <c r="RIU1" s="383"/>
      <c r="RIV1" s="383"/>
      <c r="RIW1" s="383"/>
      <c r="RIX1" s="383"/>
      <c r="RIY1" s="383"/>
      <c r="RIZ1" s="383"/>
      <c r="RJA1" s="383"/>
      <c r="RJB1" s="383"/>
      <c r="RJC1" s="383"/>
      <c r="RJD1" s="383"/>
      <c r="RJE1" s="383"/>
      <c r="RJF1" s="383"/>
      <c r="RJG1" s="383"/>
      <c r="RJH1" s="383"/>
      <c r="RJI1" s="383"/>
      <c r="RJJ1" s="383"/>
      <c r="RJK1" s="383"/>
      <c r="RJL1" s="383"/>
      <c r="RJM1" s="383"/>
      <c r="RJN1" s="383"/>
      <c r="RJO1" s="383"/>
      <c r="RJP1" s="383"/>
      <c r="RJQ1" s="383"/>
      <c r="RJR1" s="383"/>
      <c r="RJS1" s="383"/>
      <c r="RJT1" s="383"/>
      <c r="RJU1" s="383"/>
      <c r="RJV1" s="383"/>
      <c r="RJW1" s="383"/>
      <c r="RJX1" s="383"/>
      <c r="RJY1" s="383"/>
      <c r="RJZ1" s="383"/>
      <c r="RKA1" s="383"/>
      <c r="RKB1" s="383"/>
      <c r="RKC1" s="383"/>
      <c r="RKD1" s="383"/>
      <c r="RKE1" s="383"/>
      <c r="RKF1" s="383"/>
      <c r="RKG1" s="383"/>
      <c r="RKH1" s="383"/>
      <c r="RKI1" s="383"/>
      <c r="RKJ1" s="383"/>
      <c r="RKK1" s="383"/>
      <c r="RKL1" s="383"/>
      <c r="RKM1" s="383"/>
      <c r="RKN1" s="383"/>
      <c r="RKO1" s="383"/>
      <c r="RKP1" s="383"/>
      <c r="RKQ1" s="383"/>
      <c r="RKR1" s="383"/>
      <c r="RKS1" s="383"/>
      <c r="RKT1" s="383"/>
      <c r="RKU1" s="383"/>
      <c r="RKV1" s="383"/>
      <c r="RKW1" s="383"/>
      <c r="RKX1" s="383"/>
      <c r="RKY1" s="383"/>
      <c r="RKZ1" s="383"/>
      <c r="RLA1" s="383"/>
      <c r="RLB1" s="383"/>
      <c r="RLC1" s="383"/>
      <c r="RLD1" s="383"/>
      <c r="RLE1" s="383"/>
      <c r="RLF1" s="383"/>
      <c r="RLG1" s="383"/>
      <c r="RLH1" s="383"/>
      <c r="RLI1" s="383"/>
      <c r="RLJ1" s="383"/>
      <c r="RLK1" s="383"/>
      <c r="RLL1" s="383"/>
      <c r="RLM1" s="383"/>
      <c r="RLN1" s="383"/>
      <c r="RLO1" s="383"/>
      <c r="RLP1" s="383"/>
      <c r="RLQ1" s="383"/>
      <c r="RLR1" s="383"/>
      <c r="RLS1" s="383"/>
      <c r="RLT1" s="383"/>
      <c r="RLU1" s="383"/>
      <c r="RLV1" s="383"/>
      <c r="RLW1" s="383"/>
      <c r="RLX1" s="383"/>
      <c r="RLY1" s="383"/>
      <c r="RLZ1" s="383"/>
      <c r="RMA1" s="383"/>
      <c r="RMB1" s="383"/>
      <c r="RMC1" s="383"/>
      <c r="RMD1" s="383"/>
      <c r="RME1" s="383"/>
      <c r="RMF1" s="383"/>
      <c r="RMG1" s="383"/>
      <c r="RMH1" s="383"/>
      <c r="RMI1" s="383"/>
      <c r="RMJ1" s="383"/>
      <c r="RMK1" s="383"/>
      <c r="RML1" s="383"/>
      <c r="RMM1" s="383"/>
      <c r="RMN1" s="383"/>
      <c r="RMO1" s="383"/>
      <c r="RMP1" s="383"/>
      <c r="RMQ1" s="383"/>
      <c r="RMR1" s="383"/>
      <c r="RMS1" s="383"/>
      <c r="RMT1" s="383"/>
      <c r="RMU1" s="383"/>
      <c r="RMV1" s="383"/>
      <c r="RMW1" s="383"/>
      <c r="RMX1" s="383"/>
      <c r="RMY1" s="383"/>
      <c r="RMZ1" s="383"/>
      <c r="RNA1" s="383"/>
      <c r="RNB1" s="383"/>
      <c r="RNC1" s="383"/>
      <c r="RND1" s="383"/>
      <c r="RNE1" s="383"/>
      <c r="RNF1" s="383"/>
      <c r="RNG1" s="383"/>
      <c r="RNH1" s="383"/>
      <c r="RNI1" s="383"/>
      <c r="RNJ1" s="383"/>
      <c r="RNK1" s="383"/>
      <c r="RNL1" s="383"/>
      <c r="RNM1" s="383"/>
      <c r="RNN1" s="383"/>
      <c r="RNO1" s="383"/>
      <c r="RNP1" s="383"/>
      <c r="RNQ1" s="383"/>
      <c r="RNR1" s="383"/>
      <c r="RNS1" s="383"/>
      <c r="RNT1" s="383"/>
      <c r="RNU1" s="383"/>
      <c r="RNV1" s="383"/>
      <c r="RNW1" s="383"/>
      <c r="RNX1" s="383"/>
      <c r="RNY1" s="383"/>
      <c r="RNZ1" s="383"/>
      <c r="ROA1" s="383"/>
      <c r="ROB1" s="383"/>
      <c r="ROC1" s="383"/>
      <c r="ROD1" s="383"/>
      <c r="ROE1" s="383"/>
      <c r="ROF1" s="383"/>
      <c r="ROG1" s="383"/>
      <c r="ROH1" s="383"/>
      <c r="ROI1" s="383"/>
      <c r="ROJ1" s="383"/>
      <c r="ROK1" s="383"/>
      <c r="ROL1" s="383"/>
      <c r="ROM1" s="383"/>
      <c r="RON1" s="383"/>
      <c r="ROO1" s="383"/>
      <c r="ROP1" s="383"/>
      <c r="ROQ1" s="383"/>
      <c r="ROR1" s="383"/>
      <c r="ROS1" s="383"/>
      <c r="ROT1" s="383"/>
      <c r="ROU1" s="383"/>
      <c r="ROV1" s="383"/>
      <c r="ROW1" s="383"/>
      <c r="ROX1" s="383"/>
      <c r="ROY1" s="383"/>
      <c r="ROZ1" s="383"/>
      <c r="RPA1" s="383"/>
      <c r="RPB1" s="383"/>
      <c r="RPC1" s="383"/>
      <c r="RPD1" s="383"/>
      <c r="RPE1" s="383"/>
      <c r="RPF1" s="383"/>
      <c r="RPG1" s="383"/>
      <c r="RPH1" s="383"/>
      <c r="RPI1" s="383"/>
      <c r="RPJ1" s="383"/>
      <c r="RPK1" s="383"/>
      <c r="RPL1" s="383"/>
      <c r="RPM1" s="383"/>
      <c r="RPN1" s="383"/>
      <c r="RPO1" s="383"/>
      <c r="RPP1" s="383"/>
      <c r="RPQ1" s="383"/>
      <c r="RPR1" s="383"/>
      <c r="RPS1" s="383"/>
      <c r="RPT1" s="383"/>
      <c r="RPU1" s="383"/>
      <c r="RPV1" s="383"/>
      <c r="RPW1" s="383"/>
      <c r="RPX1" s="383"/>
      <c r="RPY1" s="383"/>
      <c r="RPZ1" s="383"/>
      <c r="RQA1" s="383"/>
      <c r="RQB1" s="383"/>
      <c r="RQC1" s="383"/>
      <c r="RQD1" s="383"/>
      <c r="RQE1" s="383"/>
      <c r="RQF1" s="383"/>
      <c r="RQG1" s="383"/>
      <c r="RQH1" s="383"/>
      <c r="RQI1" s="383"/>
      <c r="RQJ1" s="383"/>
      <c r="RQK1" s="383"/>
      <c r="RQL1" s="383"/>
      <c r="RQM1" s="383"/>
      <c r="RQN1" s="383"/>
      <c r="RQO1" s="383"/>
      <c r="RQP1" s="383"/>
      <c r="RQQ1" s="383"/>
      <c r="RQR1" s="383"/>
      <c r="RQS1" s="383"/>
      <c r="RQT1" s="383"/>
      <c r="RQU1" s="383"/>
      <c r="RQV1" s="383"/>
      <c r="RQW1" s="383"/>
      <c r="RQX1" s="383"/>
      <c r="RQY1" s="383"/>
      <c r="RQZ1" s="383"/>
      <c r="RRA1" s="383"/>
      <c r="RRB1" s="383"/>
      <c r="RRC1" s="383"/>
      <c r="RRD1" s="383"/>
      <c r="RRE1" s="383"/>
      <c r="RRF1" s="383"/>
      <c r="RRG1" s="383"/>
      <c r="RRH1" s="383"/>
      <c r="RRI1" s="383"/>
      <c r="RRJ1" s="383"/>
      <c r="RRK1" s="383"/>
      <c r="RRL1" s="383"/>
      <c r="RRM1" s="383"/>
      <c r="RRN1" s="383"/>
      <c r="RRO1" s="383"/>
      <c r="RRP1" s="383"/>
      <c r="RRQ1" s="383"/>
      <c r="RRR1" s="383"/>
      <c r="RRS1" s="383"/>
      <c r="RRT1" s="383"/>
      <c r="RRU1" s="383"/>
      <c r="RRV1" s="383"/>
      <c r="RRW1" s="383"/>
      <c r="RRX1" s="383"/>
      <c r="RRY1" s="383"/>
      <c r="RRZ1" s="383"/>
      <c r="RSA1" s="383"/>
      <c r="RSB1" s="383"/>
      <c r="RSC1" s="383"/>
      <c r="RSD1" s="383"/>
      <c r="RSE1" s="383"/>
      <c r="RSF1" s="383"/>
      <c r="RSG1" s="383"/>
      <c r="RSH1" s="383"/>
      <c r="RSI1" s="383"/>
      <c r="RSJ1" s="383"/>
      <c r="RSK1" s="383"/>
      <c r="RSL1" s="383"/>
      <c r="RSM1" s="383"/>
      <c r="RSN1" s="383"/>
      <c r="RSO1" s="383"/>
      <c r="RSP1" s="383"/>
      <c r="RSQ1" s="383"/>
      <c r="RSR1" s="383"/>
      <c r="RSS1" s="383"/>
      <c r="RST1" s="383"/>
      <c r="RSU1" s="383"/>
      <c r="RSV1" s="383"/>
      <c r="RSW1" s="383"/>
      <c r="RSX1" s="383"/>
      <c r="RSY1" s="383"/>
      <c r="RSZ1" s="383"/>
      <c r="RTA1" s="383"/>
      <c r="RTB1" s="383"/>
      <c r="RTC1" s="383"/>
      <c r="RTD1" s="383"/>
      <c r="RTE1" s="383"/>
      <c r="RTF1" s="383"/>
      <c r="RTG1" s="383"/>
      <c r="RTH1" s="383"/>
      <c r="RTI1" s="383"/>
      <c r="RTJ1" s="383"/>
      <c r="RTK1" s="383"/>
      <c r="RTL1" s="383"/>
      <c r="RTM1" s="383"/>
      <c r="RTN1" s="383"/>
      <c r="RTO1" s="383"/>
      <c r="RTP1" s="383"/>
      <c r="RTQ1" s="383"/>
      <c r="RTR1" s="383"/>
      <c r="RTS1" s="383"/>
      <c r="RTT1" s="383"/>
      <c r="RTU1" s="383"/>
      <c r="RTV1" s="383"/>
      <c r="RTW1" s="383"/>
      <c r="RTX1" s="383"/>
      <c r="RTY1" s="383"/>
      <c r="RTZ1" s="383"/>
      <c r="RUA1" s="383"/>
      <c r="RUB1" s="383"/>
      <c r="RUC1" s="383"/>
      <c r="RUD1" s="383"/>
      <c r="RUE1" s="383"/>
      <c r="RUF1" s="383"/>
      <c r="RUG1" s="383"/>
      <c r="RUH1" s="383"/>
      <c r="RUI1" s="383"/>
      <c r="RUJ1" s="383"/>
      <c r="RUK1" s="383"/>
      <c r="RUL1" s="383"/>
      <c r="RUM1" s="383"/>
      <c r="RUN1" s="383"/>
      <c r="RUO1" s="383"/>
      <c r="RUP1" s="383"/>
      <c r="RUQ1" s="383"/>
      <c r="RUR1" s="383"/>
      <c r="RUS1" s="383"/>
      <c r="RUT1" s="383"/>
      <c r="RUU1" s="383"/>
      <c r="RUV1" s="383"/>
      <c r="RUW1" s="383"/>
      <c r="RUX1" s="383"/>
      <c r="RUY1" s="383"/>
      <c r="RUZ1" s="383"/>
      <c r="RVA1" s="383"/>
      <c r="RVB1" s="383"/>
      <c r="RVC1" s="383"/>
      <c r="RVD1" s="383"/>
      <c r="RVE1" s="383"/>
      <c r="RVF1" s="383"/>
      <c r="RVG1" s="383"/>
      <c r="RVH1" s="383"/>
      <c r="RVI1" s="383"/>
      <c r="RVJ1" s="383"/>
      <c r="RVK1" s="383"/>
      <c r="RVL1" s="383"/>
      <c r="RVM1" s="383"/>
      <c r="RVN1" s="383"/>
      <c r="RVO1" s="383"/>
      <c r="RVP1" s="383"/>
      <c r="RVQ1" s="383"/>
      <c r="RVR1" s="383"/>
      <c r="RVS1" s="383"/>
      <c r="RVT1" s="383"/>
      <c r="RVU1" s="383"/>
      <c r="RVV1" s="383"/>
      <c r="RVW1" s="383"/>
      <c r="RVX1" s="383"/>
      <c r="RVY1" s="383"/>
      <c r="RVZ1" s="383"/>
      <c r="RWA1" s="383"/>
      <c r="RWB1" s="383"/>
      <c r="RWC1" s="383"/>
      <c r="RWD1" s="383"/>
      <c r="RWE1" s="383"/>
      <c r="RWF1" s="383"/>
      <c r="RWG1" s="383"/>
      <c r="RWH1" s="383"/>
      <c r="RWI1" s="383"/>
      <c r="RWJ1" s="383"/>
      <c r="RWK1" s="383"/>
      <c r="RWL1" s="383"/>
      <c r="RWM1" s="383"/>
      <c r="RWN1" s="383"/>
      <c r="RWO1" s="383"/>
      <c r="RWP1" s="383"/>
      <c r="RWQ1" s="383"/>
      <c r="RWR1" s="383"/>
      <c r="RWS1" s="383"/>
      <c r="RWT1" s="383"/>
      <c r="RWU1" s="383"/>
      <c r="RWV1" s="383"/>
      <c r="RWW1" s="383"/>
      <c r="RWX1" s="383"/>
      <c r="RWY1" s="383"/>
      <c r="RWZ1" s="383"/>
      <c r="RXA1" s="383"/>
      <c r="RXB1" s="383"/>
      <c r="RXC1" s="383"/>
      <c r="RXD1" s="383"/>
      <c r="RXE1" s="383"/>
      <c r="RXF1" s="383"/>
      <c r="RXG1" s="383"/>
      <c r="RXH1" s="383"/>
      <c r="RXI1" s="383"/>
      <c r="RXJ1" s="383"/>
      <c r="RXK1" s="383"/>
      <c r="RXL1" s="383"/>
      <c r="RXM1" s="383"/>
      <c r="RXN1" s="383"/>
      <c r="RXO1" s="383"/>
      <c r="RXP1" s="383"/>
      <c r="RXQ1" s="383"/>
      <c r="RXR1" s="383"/>
      <c r="RXS1" s="383"/>
      <c r="RXT1" s="383"/>
      <c r="RXU1" s="383"/>
      <c r="RXV1" s="383"/>
      <c r="RXW1" s="383"/>
      <c r="RXX1" s="383"/>
      <c r="RXY1" s="383"/>
      <c r="RXZ1" s="383"/>
      <c r="RYA1" s="383"/>
      <c r="RYB1" s="383"/>
      <c r="RYC1" s="383"/>
      <c r="RYD1" s="383"/>
      <c r="RYE1" s="383"/>
      <c r="RYF1" s="383"/>
      <c r="RYG1" s="383"/>
      <c r="RYH1" s="383"/>
      <c r="RYI1" s="383"/>
      <c r="RYJ1" s="383"/>
      <c r="RYK1" s="383"/>
      <c r="RYL1" s="383"/>
      <c r="RYM1" s="383"/>
      <c r="RYN1" s="383"/>
      <c r="RYO1" s="383"/>
      <c r="RYP1" s="383"/>
      <c r="RYQ1" s="383"/>
      <c r="RYR1" s="383"/>
      <c r="RYS1" s="383"/>
      <c r="RYT1" s="383"/>
      <c r="RYU1" s="383"/>
      <c r="RYV1" s="383"/>
      <c r="RYW1" s="383"/>
      <c r="RYX1" s="383"/>
      <c r="RYY1" s="383"/>
      <c r="RYZ1" s="383"/>
      <c r="RZA1" s="383"/>
      <c r="RZB1" s="383"/>
      <c r="RZC1" s="383"/>
      <c r="RZD1" s="383"/>
      <c r="RZE1" s="383"/>
      <c r="RZF1" s="383"/>
      <c r="RZG1" s="383"/>
      <c r="RZH1" s="383"/>
      <c r="RZI1" s="383"/>
      <c r="RZJ1" s="383"/>
      <c r="RZK1" s="383"/>
      <c r="RZL1" s="383"/>
      <c r="RZM1" s="383"/>
      <c r="RZN1" s="383"/>
      <c r="RZO1" s="383"/>
      <c r="RZP1" s="383"/>
      <c r="RZQ1" s="383"/>
      <c r="RZR1" s="383"/>
      <c r="RZS1" s="383"/>
      <c r="RZT1" s="383"/>
      <c r="RZU1" s="383"/>
      <c r="RZV1" s="383"/>
      <c r="RZW1" s="383"/>
      <c r="RZX1" s="383"/>
      <c r="RZY1" s="383"/>
      <c r="RZZ1" s="383"/>
      <c r="SAA1" s="383"/>
      <c r="SAB1" s="383"/>
      <c r="SAC1" s="383"/>
      <c r="SAD1" s="383"/>
      <c r="SAE1" s="383"/>
      <c r="SAF1" s="383"/>
      <c r="SAG1" s="383"/>
      <c r="SAH1" s="383"/>
      <c r="SAI1" s="383"/>
      <c r="SAJ1" s="383"/>
      <c r="SAK1" s="383"/>
      <c r="SAL1" s="383"/>
      <c r="SAM1" s="383"/>
      <c r="SAN1" s="383"/>
      <c r="SAO1" s="383"/>
      <c r="SAP1" s="383"/>
      <c r="SAQ1" s="383"/>
      <c r="SAR1" s="383"/>
      <c r="SAS1" s="383"/>
      <c r="SAT1" s="383"/>
      <c r="SAU1" s="383"/>
      <c r="SAV1" s="383"/>
      <c r="SAW1" s="383"/>
      <c r="SAX1" s="383"/>
      <c r="SAY1" s="383"/>
      <c r="SAZ1" s="383"/>
      <c r="SBA1" s="383"/>
      <c r="SBB1" s="383"/>
      <c r="SBC1" s="383"/>
      <c r="SBD1" s="383"/>
      <c r="SBE1" s="383"/>
      <c r="SBF1" s="383"/>
      <c r="SBG1" s="383"/>
      <c r="SBH1" s="383"/>
      <c r="SBI1" s="383"/>
      <c r="SBJ1" s="383"/>
      <c r="SBK1" s="383"/>
      <c r="SBL1" s="383"/>
      <c r="SBM1" s="383"/>
      <c r="SBN1" s="383"/>
      <c r="SBO1" s="383"/>
      <c r="SBP1" s="383"/>
      <c r="SBQ1" s="383"/>
      <c r="SBR1" s="383"/>
      <c r="SBS1" s="383"/>
      <c r="SBT1" s="383"/>
      <c r="SBU1" s="383"/>
      <c r="SBV1" s="383"/>
      <c r="SBW1" s="383"/>
      <c r="SBX1" s="383"/>
      <c r="SBY1" s="383"/>
      <c r="SBZ1" s="383"/>
      <c r="SCA1" s="383"/>
      <c r="SCB1" s="383"/>
      <c r="SCC1" s="383"/>
      <c r="SCD1" s="383"/>
      <c r="SCE1" s="383"/>
      <c r="SCF1" s="383"/>
      <c r="SCG1" s="383"/>
      <c r="SCH1" s="383"/>
      <c r="SCI1" s="383"/>
      <c r="SCJ1" s="383"/>
      <c r="SCK1" s="383"/>
      <c r="SCL1" s="383"/>
      <c r="SCM1" s="383"/>
      <c r="SCN1" s="383"/>
      <c r="SCO1" s="383"/>
      <c r="SCP1" s="383"/>
      <c r="SCQ1" s="383"/>
      <c r="SCR1" s="383"/>
      <c r="SCS1" s="383"/>
      <c r="SCT1" s="383"/>
      <c r="SCU1" s="383"/>
      <c r="SCV1" s="383"/>
      <c r="SCW1" s="383"/>
      <c r="SCX1" s="383"/>
      <c r="SCY1" s="383"/>
      <c r="SCZ1" s="383"/>
      <c r="SDA1" s="383"/>
      <c r="SDB1" s="383"/>
      <c r="SDC1" s="383"/>
      <c r="SDD1" s="383"/>
      <c r="SDE1" s="383"/>
      <c r="SDF1" s="383"/>
      <c r="SDG1" s="383"/>
      <c r="SDH1" s="383"/>
      <c r="SDI1" s="383"/>
      <c r="SDJ1" s="383"/>
      <c r="SDK1" s="383"/>
      <c r="SDL1" s="383"/>
      <c r="SDM1" s="383"/>
      <c r="SDN1" s="383"/>
      <c r="SDO1" s="383"/>
      <c r="SDP1" s="383"/>
      <c r="SDQ1" s="383"/>
      <c r="SDR1" s="383"/>
      <c r="SDS1" s="383"/>
      <c r="SDT1" s="383"/>
      <c r="SDU1" s="383"/>
      <c r="SDV1" s="383"/>
      <c r="SDW1" s="383"/>
      <c r="SDX1" s="383"/>
      <c r="SDY1" s="383"/>
      <c r="SDZ1" s="383"/>
      <c r="SEA1" s="383"/>
      <c r="SEB1" s="383"/>
      <c r="SEC1" s="383"/>
      <c r="SED1" s="383"/>
      <c r="SEE1" s="383"/>
      <c r="SEF1" s="383"/>
      <c r="SEG1" s="383"/>
      <c r="SEH1" s="383"/>
      <c r="SEI1" s="383"/>
      <c r="SEJ1" s="383"/>
      <c r="SEK1" s="383"/>
      <c r="SEL1" s="383"/>
      <c r="SEM1" s="383"/>
      <c r="SEN1" s="383"/>
      <c r="SEO1" s="383"/>
      <c r="SEP1" s="383"/>
      <c r="SEQ1" s="383"/>
      <c r="SER1" s="383"/>
      <c r="SES1" s="383"/>
      <c r="SET1" s="383"/>
      <c r="SEU1" s="383"/>
      <c r="SEV1" s="383"/>
      <c r="SEW1" s="383"/>
      <c r="SEX1" s="383"/>
      <c r="SEY1" s="383"/>
      <c r="SEZ1" s="383"/>
      <c r="SFA1" s="383"/>
      <c r="SFB1" s="383"/>
      <c r="SFC1" s="383"/>
      <c r="SFD1" s="383"/>
      <c r="SFE1" s="383"/>
      <c r="SFF1" s="383"/>
      <c r="SFG1" s="383"/>
      <c r="SFH1" s="383"/>
      <c r="SFI1" s="383"/>
      <c r="SFJ1" s="383"/>
      <c r="SFK1" s="383"/>
      <c r="SFL1" s="383"/>
      <c r="SFM1" s="383"/>
      <c r="SFN1" s="383"/>
      <c r="SFO1" s="383"/>
      <c r="SFP1" s="383"/>
      <c r="SFQ1" s="383"/>
      <c r="SFR1" s="383"/>
      <c r="SFS1" s="383"/>
      <c r="SFT1" s="383"/>
      <c r="SFU1" s="383"/>
      <c r="SFV1" s="383"/>
      <c r="SFW1" s="383"/>
      <c r="SFX1" s="383"/>
      <c r="SFY1" s="383"/>
      <c r="SFZ1" s="383"/>
      <c r="SGA1" s="383"/>
      <c r="SGB1" s="383"/>
      <c r="SGC1" s="383"/>
      <c r="SGD1" s="383"/>
      <c r="SGE1" s="383"/>
      <c r="SGF1" s="383"/>
      <c r="SGG1" s="383"/>
      <c r="SGH1" s="383"/>
      <c r="SGI1" s="383"/>
      <c r="SGJ1" s="383"/>
      <c r="SGK1" s="383"/>
      <c r="SGL1" s="383"/>
      <c r="SGM1" s="383"/>
      <c r="SGN1" s="383"/>
      <c r="SGO1" s="383"/>
      <c r="SGP1" s="383"/>
      <c r="SGQ1" s="383"/>
      <c r="SGR1" s="383"/>
      <c r="SGS1" s="383"/>
      <c r="SGT1" s="383"/>
      <c r="SGU1" s="383"/>
      <c r="SGV1" s="383"/>
      <c r="SGW1" s="383"/>
      <c r="SGX1" s="383"/>
      <c r="SGY1" s="383"/>
      <c r="SGZ1" s="383"/>
      <c r="SHA1" s="383"/>
      <c r="SHB1" s="383"/>
      <c r="SHC1" s="383"/>
      <c r="SHD1" s="383"/>
      <c r="SHE1" s="383"/>
      <c r="SHF1" s="383"/>
      <c r="SHG1" s="383"/>
      <c r="SHH1" s="383"/>
      <c r="SHI1" s="383"/>
      <c r="SHJ1" s="383"/>
      <c r="SHK1" s="383"/>
      <c r="SHL1" s="383"/>
      <c r="SHM1" s="383"/>
      <c r="SHN1" s="383"/>
      <c r="SHO1" s="383"/>
      <c r="SHP1" s="383"/>
      <c r="SHQ1" s="383"/>
      <c r="SHR1" s="383"/>
      <c r="SHS1" s="383"/>
      <c r="SHT1" s="383"/>
      <c r="SHU1" s="383"/>
      <c r="SHV1" s="383"/>
      <c r="SHW1" s="383"/>
      <c r="SHX1" s="383"/>
      <c r="SHY1" s="383"/>
      <c r="SHZ1" s="383"/>
      <c r="SIA1" s="383"/>
      <c r="SIB1" s="383"/>
      <c r="SIC1" s="383"/>
      <c r="SID1" s="383"/>
      <c r="SIE1" s="383"/>
      <c r="SIF1" s="383"/>
      <c r="SIG1" s="383"/>
      <c r="SIH1" s="383"/>
      <c r="SII1" s="383"/>
      <c r="SIJ1" s="383"/>
      <c r="SIK1" s="383"/>
      <c r="SIL1" s="383"/>
      <c r="SIM1" s="383"/>
      <c r="SIN1" s="383"/>
      <c r="SIO1" s="383"/>
      <c r="SIP1" s="383"/>
      <c r="SIQ1" s="383"/>
      <c r="SIR1" s="383"/>
      <c r="SIS1" s="383"/>
      <c r="SIT1" s="383"/>
      <c r="SIU1" s="383"/>
      <c r="SIV1" s="383"/>
      <c r="SIW1" s="383"/>
      <c r="SIX1" s="383"/>
      <c r="SIY1" s="383"/>
      <c r="SIZ1" s="383"/>
      <c r="SJA1" s="383"/>
      <c r="SJB1" s="383"/>
      <c r="SJC1" s="383"/>
      <c r="SJD1" s="383"/>
      <c r="SJE1" s="383"/>
      <c r="SJF1" s="383"/>
      <c r="SJG1" s="383"/>
      <c r="SJH1" s="383"/>
      <c r="SJI1" s="383"/>
      <c r="SJJ1" s="383"/>
      <c r="SJK1" s="383"/>
      <c r="SJL1" s="383"/>
      <c r="SJM1" s="383"/>
      <c r="SJN1" s="383"/>
      <c r="SJO1" s="383"/>
      <c r="SJP1" s="383"/>
      <c r="SJQ1" s="383"/>
      <c r="SJR1" s="383"/>
      <c r="SJS1" s="383"/>
      <c r="SJT1" s="383"/>
      <c r="SJU1" s="383"/>
      <c r="SJV1" s="383"/>
      <c r="SJW1" s="383"/>
      <c r="SJX1" s="383"/>
      <c r="SJY1" s="383"/>
      <c r="SJZ1" s="383"/>
      <c r="SKA1" s="383"/>
      <c r="SKB1" s="383"/>
      <c r="SKC1" s="383"/>
      <c r="SKD1" s="383"/>
      <c r="SKE1" s="383"/>
      <c r="SKF1" s="383"/>
      <c r="SKG1" s="383"/>
      <c r="SKH1" s="383"/>
      <c r="SKI1" s="383"/>
      <c r="SKJ1" s="383"/>
      <c r="SKK1" s="383"/>
      <c r="SKL1" s="383"/>
      <c r="SKM1" s="383"/>
      <c r="SKN1" s="383"/>
      <c r="SKO1" s="383"/>
      <c r="SKP1" s="383"/>
      <c r="SKQ1" s="383"/>
      <c r="SKR1" s="383"/>
      <c r="SKS1" s="383"/>
      <c r="SKT1" s="383"/>
      <c r="SKU1" s="383"/>
      <c r="SKV1" s="383"/>
      <c r="SKW1" s="383"/>
      <c r="SKX1" s="383"/>
      <c r="SKY1" s="383"/>
      <c r="SKZ1" s="383"/>
      <c r="SLA1" s="383"/>
      <c r="SLB1" s="383"/>
      <c r="SLC1" s="383"/>
      <c r="SLD1" s="383"/>
      <c r="SLE1" s="383"/>
      <c r="SLF1" s="383"/>
      <c r="SLG1" s="383"/>
      <c r="SLH1" s="383"/>
      <c r="SLI1" s="383"/>
      <c r="SLJ1" s="383"/>
      <c r="SLK1" s="383"/>
      <c r="SLL1" s="383"/>
      <c r="SLM1" s="383"/>
      <c r="SLN1" s="383"/>
      <c r="SLO1" s="383"/>
      <c r="SLP1" s="383"/>
      <c r="SLQ1" s="383"/>
      <c r="SLR1" s="383"/>
      <c r="SLS1" s="383"/>
      <c r="SLT1" s="383"/>
      <c r="SLU1" s="383"/>
      <c r="SLV1" s="383"/>
      <c r="SLW1" s="383"/>
      <c r="SLX1" s="383"/>
      <c r="SLY1" s="383"/>
      <c r="SLZ1" s="383"/>
      <c r="SMA1" s="383"/>
      <c r="SMB1" s="383"/>
      <c r="SMC1" s="383"/>
      <c r="SMD1" s="383"/>
      <c r="SME1" s="383"/>
      <c r="SMF1" s="383"/>
      <c r="SMG1" s="383"/>
      <c r="SMH1" s="383"/>
      <c r="SMI1" s="383"/>
      <c r="SMJ1" s="383"/>
      <c r="SMK1" s="383"/>
      <c r="SML1" s="383"/>
      <c r="SMM1" s="383"/>
      <c r="SMN1" s="383"/>
      <c r="SMO1" s="383"/>
      <c r="SMP1" s="383"/>
      <c r="SMQ1" s="383"/>
      <c r="SMR1" s="383"/>
      <c r="SMS1" s="383"/>
      <c r="SMT1" s="383"/>
      <c r="SMU1" s="383"/>
      <c r="SMV1" s="383"/>
      <c r="SMW1" s="383"/>
      <c r="SMX1" s="383"/>
      <c r="SMY1" s="383"/>
      <c r="SMZ1" s="383"/>
      <c r="SNA1" s="383"/>
      <c r="SNB1" s="383"/>
      <c r="SNC1" s="383"/>
      <c r="SND1" s="383"/>
      <c r="SNE1" s="383"/>
      <c r="SNF1" s="383"/>
      <c r="SNG1" s="383"/>
      <c r="SNH1" s="383"/>
      <c r="SNI1" s="383"/>
      <c r="SNJ1" s="383"/>
      <c r="SNK1" s="383"/>
      <c r="SNL1" s="383"/>
      <c r="SNM1" s="383"/>
      <c r="SNN1" s="383"/>
      <c r="SNO1" s="383"/>
      <c r="SNP1" s="383"/>
      <c r="SNQ1" s="383"/>
      <c r="SNR1" s="383"/>
      <c r="SNS1" s="383"/>
      <c r="SNT1" s="383"/>
      <c r="SNU1" s="383"/>
      <c r="SNV1" s="383"/>
      <c r="SNW1" s="383"/>
      <c r="SNX1" s="383"/>
      <c r="SNY1" s="383"/>
      <c r="SNZ1" s="383"/>
      <c r="SOA1" s="383"/>
      <c r="SOB1" s="383"/>
      <c r="SOC1" s="383"/>
      <c r="SOD1" s="383"/>
      <c r="SOE1" s="383"/>
      <c r="SOF1" s="383"/>
      <c r="SOG1" s="383"/>
      <c r="SOH1" s="383"/>
      <c r="SOI1" s="383"/>
      <c r="SOJ1" s="383"/>
      <c r="SOK1" s="383"/>
      <c r="SOL1" s="383"/>
      <c r="SOM1" s="383"/>
      <c r="SON1" s="383"/>
      <c r="SOO1" s="383"/>
      <c r="SOP1" s="383"/>
      <c r="SOQ1" s="383"/>
      <c r="SOR1" s="383"/>
      <c r="SOS1" s="383"/>
      <c r="SOT1" s="383"/>
      <c r="SOU1" s="383"/>
      <c r="SOV1" s="383"/>
      <c r="SOW1" s="383"/>
      <c r="SOX1" s="383"/>
      <c r="SOY1" s="383"/>
      <c r="SOZ1" s="383"/>
      <c r="SPA1" s="383"/>
      <c r="SPB1" s="383"/>
      <c r="SPC1" s="383"/>
      <c r="SPD1" s="383"/>
      <c r="SPE1" s="383"/>
      <c r="SPF1" s="383"/>
      <c r="SPG1" s="383"/>
      <c r="SPH1" s="383"/>
      <c r="SPI1" s="383"/>
      <c r="SPJ1" s="383"/>
      <c r="SPK1" s="383"/>
      <c r="SPL1" s="383"/>
      <c r="SPM1" s="383"/>
      <c r="SPN1" s="383"/>
      <c r="SPO1" s="383"/>
      <c r="SPP1" s="383"/>
      <c r="SPQ1" s="383"/>
      <c r="SPR1" s="383"/>
      <c r="SPS1" s="383"/>
      <c r="SPT1" s="383"/>
      <c r="SPU1" s="383"/>
      <c r="SPV1" s="383"/>
      <c r="SPW1" s="383"/>
      <c r="SPX1" s="383"/>
      <c r="SPY1" s="383"/>
      <c r="SPZ1" s="383"/>
      <c r="SQA1" s="383"/>
      <c r="SQB1" s="383"/>
      <c r="SQC1" s="383"/>
      <c r="SQD1" s="383"/>
      <c r="SQE1" s="383"/>
      <c r="SQF1" s="383"/>
      <c r="SQG1" s="383"/>
      <c r="SQH1" s="383"/>
      <c r="SQI1" s="383"/>
      <c r="SQJ1" s="383"/>
      <c r="SQK1" s="383"/>
      <c r="SQL1" s="383"/>
      <c r="SQM1" s="383"/>
      <c r="SQN1" s="383"/>
      <c r="SQO1" s="383"/>
      <c r="SQP1" s="383"/>
      <c r="SQQ1" s="383"/>
      <c r="SQR1" s="383"/>
      <c r="SQS1" s="383"/>
      <c r="SQT1" s="383"/>
      <c r="SQU1" s="383"/>
      <c r="SQV1" s="383"/>
      <c r="SQW1" s="383"/>
      <c r="SQX1" s="383"/>
      <c r="SQY1" s="383"/>
      <c r="SQZ1" s="383"/>
      <c r="SRA1" s="383"/>
      <c r="SRB1" s="383"/>
      <c r="SRC1" s="383"/>
      <c r="SRD1" s="383"/>
      <c r="SRE1" s="383"/>
      <c r="SRF1" s="383"/>
      <c r="SRG1" s="383"/>
      <c r="SRH1" s="383"/>
      <c r="SRI1" s="383"/>
      <c r="SRJ1" s="383"/>
      <c r="SRK1" s="383"/>
      <c r="SRL1" s="383"/>
      <c r="SRM1" s="383"/>
      <c r="SRN1" s="383"/>
      <c r="SRO1" s="383"/>
      <c r="SRP1" s="383"/>
      <c r="SRQ1" s="383"/>
      <c r="SRR1" s="383"/>
      <c r="SRS1" s="383"/>
      <c r="SRT1" s="383"/>
      <c r="SRU1" s="383"/>
      <c r="SRV1" s="383"/>
      <c r="SRW1" s="383"/>
      <c r="SRX1" s="383"/>
      <c r="SRY1" s="383"/>
      <c r="SRZ1" s="383"/>
      <c r="SSA1" s="383"/>
      <c r="SSB1" s="383"/>
      <c r="SSC1" s="383"/>
      <c r="SSD1" s="383"/>
      <c r="SSE1" s="383"/>
      <c r="SSF1" s="383"/>
      <c r="SSG1" s="383"/>
      <c r="SSH1" s="383"/>
      <c r="SSI1" s="383"/>
      <c r="SSJ1" s="383"/>
      <c r="SSK1" s="383"/>
      <c r="SSL1" s="383"/>
      <c r="SSM1" s="383"/>
      <c r="SSN1" s="383"/>
      <c r="SSO1" s="383"/>
      <c r="SSP1" s="383"/>
      <c r="SSQ1" s="383"/>
      <c r="SSR1" s="383"/>
      <c r="SSS1" s="383"/>
      <c r="SST1" s="383"/>
      <c r="SSU1" s="383"/>
      <c r="SSV1" s="383"/>
      <c r="SSW1" s="383"/>
      <c r="SSX1" s="383"/>
      <c r="SSY1" s="383"/>
      <c r="SSZ1" s="383"/>
      <c r="STA1" s="383"/>
      <c r="STB1" s="383"/>
      <c r="STC1" s="383"/>
      <c r="STD1" s="383"/>
      <c r="STE1" s="383"/>
      <c r="STF1" s="383"/>
      <c r="STG1" s="383"/>
      <c r="STH1" s="383"/>
      <c r="STI1" s="383"/>
      <c r="STJ1" s="383"/>
      <c r="STK1" s="383"/>
      <c r="STL1" s="383"/>
      <c r="STM1" s="383"/>
      <c r="STN1" s="383"/>
      <c r="STO1" s="383"/>
      <c r="STP1" s="383"/>
      <c r="STQ1" s="383"/>
      <c r="STR1" s="383"/>
      <c r="STS1" s="383"/>
      <c r="STT1" s="383"/>
      <c r="STU1" s="383"/>
      <c r="STV1" s="383"/>
      <c r="STW1" s="383"/>
      <c r="STX1" s="383"/>
      <c r="STY1" s="383"/>
      <c r="STZ1" s="383"/>
      <c r="SUA1" s="383"/>
      <c r="SUB1" s="383"/>
      <c r="SUC1" s="383"/>
      <c r="SUD1" s="383"/>
      <c r="SUE1" s="383"/>
      <c r="SUF1" s="383"/>
      <c r="SUG1" s="383"/>
      <c r="SUH1" s="383"/>
      <c r="SUI1" s="383"/>
      <c r="SUJ1" s="383"/>
      <c r="SUK1" s="383"/>
      <c r="SUL1" s="383"/>
      <c r="SUM1" s="383"/>
      <c r="SUN1" s="383"/>
      <c r="SUO1" s="383"/>
      <c r="SUP1" s="383"/>
      <c r="SUQ1" s="383"/>
      <c r="SUR1" s="383"/>
      <c r="SUS1" s="383"/>
      <c r="SUT1" s="383"/>
      <c r="SUU1" s="383"/>
      <c r="SUV1" s="383"/>
      <c r="SUW1" s="383"/>
      <c r="SUX1" s="383"/>
      <c r="SUY1" s="383"/>
      <c r="SUZ1" s="383"/>
      <c r="SVA1" s="383"/>
      <c r="SVB1" s="383"/>
      <c r="SVC1" s="383"/>
      <c r="SVD1" s="383"/>
      <c r="SVE1" s="383"/>
      <c r="SVF1" s="383"/>
      <c r="SVG1" s="383"/>
      <c r="SVH1" s="383"/>
      <c r="SVI1" s="383"/>
      <c r="SVJ1" s="383"/>
      <c r="SVK1" s="383"/>
      <c r="SVL1" s="383"/>
      <c r="SVM1" s="383"/>
      <c r="SVN1" s="383"/>
      <c r="SVO1" s="383"/>
      <c r="SVP1" s="383"/>
      <c r="SVQ1" s="383"/>
      <c r="SVR1" s="383"/>
      <c r="SVS1" s="383"/>
      <c r="SVT1" s="383"/>
      <c r="SVU1" s="383"/>
      <c r="SVV1" s="383"/>
      <c r="SVW1" s="383"/>
      <c r="SVX1" s="383"/>
      <c r="SVY1" s="383"/>
      <c r="SVZ1" s="383"/>
      <c r="SWA1" s="383"/>
      <c r="SWB1" s="383"/>
      <c r="SWC1" s="383"/>
      <c r="SWD1" s="383"/>
      <c r="SWE1" s="383"/>
      <c r="SWF1" s="383"/>
      <c r="SWG1" s="383"/>
      <c r="SWH1" s="383"/>
      <c r="SWI1" s="383"/>
      <c r="SWJ1" s="383"/>
      <c r="SWK1" s="383"/>
      <c r="SWL1" s="383"/>
      <c r="SWM1" s="383"/>
      <c r="SWN1" s="383"/>
      <c r="SWO1" s="383"/>
      <c r="SWP1" s="383"/>
      <c r="SWQ1" s="383"/>
      <c r="SWR1" s="383"/>
      <c r="SWS1" s="383"/>
      <c r="SWT1" s="383"/>
      <c r="SWU1" s="383"/>
      <c r="SWV1" s="383"/>
      <c r="SWW1" s="383"/>
      <c r="SWX1" s="383"/>
      <c r="SWY1" s="383"/>
      <c r="SWZ1" s="383"/>
      <c r="SXA1" s="383"/>
      <c r="SXB1" s="383"/>
      <c r="SXC1" s="383"/>
      <c r="SXD1" s="383"/>
      <c r="SXE1" s="383"/>
      <c r="SXF1" s="383"/>
      <c r="SXG1" s="383"/>
      <c r="SXH1" s="383"/>
      <c r="SXI1" s="383"/>
      <c r="SXJ1" s="383"/>
      <c r="SXK1" s="383"/>
      <c r="SXL1" s="383"/>
      <c r="SXM1" s="383"/>
      <c r="SXN1" s="383"/>
      <c r="SXO1" s="383"/>
      <c r="SXP1" s="383"/>
      <c r="SXQ1" s="383"/>
      <c r="SXR1" s="383"/>
      <c r="SXS1" s="383"/>
      <c r="SXT1" s="383"/>
      <c r="SXU1" s="383"/>
      <c r="SXV1" s="383"/>
      <c r="SXW1" s="383"/>
      <c r="SXX1" s="383"/>
      <c r="SXY1" s="383"/>
      <c r="SXZ1" s="383"/>
      <c r="SYA1" s="383"/>
      <c r="SYB1" s="383"/>
      <c r="SYC1" s="383"/>
      <c r="SYD1" s="383"/>
      <c r="SYE1" s="383"/>
      <c r="SYF1" s="383"/>
      <c r="SYG1" s="383"/>
      <c r="SYH1" s="383"/>
      <c r="SYI1" s="383"/>
      <c r="SYJ1" s="383"/>
      <c r="SYK1" s="383"/>
      <c r="SYL1" s="383"/>
      <c r="SYM1" s="383"/>
      <c r="SYN1" s="383"/>
      <c r="SYO1" s="383"/>
      <c r="SYP1" s="383"/>
      <c r="SYQ1" s="383"/>
      <c r="SYR1" s="383"/>
      <c r="SYS1" s="383"/>
      <c r="SYT1" s="383"/>
      <c r="SYU1" s="383"/>
      <c r="SYV1" s="383"/>
      <c r="SYW1" s="383"/>
      <c r="SYX1" s="383"/>
      <c r="SYY1" s="383"/>
      <c r="SYZ1" s="383"/>
      <c r="SZA1" s="383"/>
      <c r="SZB1" s="383"/>
      <c r="SZC1" s="383"/>
      <c r="SZD1" s="383"/>
      <c r="SZE1" s="383"/>
      <c r="SZF1" s="383"/>
      <c r="SZG1" s="383"/>
      <c r="SZH1" s="383"/>
      <c r="SZI1" s="383"/>
      <c r="SZJ1" s="383"/>
      <c r="SZK1" s="383"/>
      <c r="SZL1" s="383"/>
      <c r="SZM1" s="383"/>
      <c r="SZN1" s="383"/>
      <c r="SZO1" s="383"/>
      <c r="SZP1" s="383"/>
      <c r="SZQ1" s="383"/>
      <c r="SZR1" s="383"/>
      <c r="SZS1" s="383"/>
      <c r="SZT1" s="383"/>
      <c r="SZU1" s="383"/>
      <c r="SZV1" s="383"/>
      <c r="SZW1" s="383"/>
      <c r="SZX1" s="383"/>
      <c r="SZY1" s="383"/>
      <c r="SZZ1" s="383"/>
      <c r="TAA1" s="383"/>
      <c r="TAB1" s="383"/>
      <c r="TAC1" s="383"/>
      <c r="TAD1" s="383"/>
      <c r="TAE1" s="383"/>
      <c r="TAF1" s="383"/>
      <c r="TAG1" s="383"/>
      <c r="TAH1" s="383"/>
      <c r="TAI1" s="383"/>
      <c r="TAJ1" s="383"/>
      <c r="TAK1" s="383"/>
      <c r="TAL1" s="383"/>
      <c r="TAM1" s="383"/>
      <c r="TAN1" s="383"/>
      <c r="TAO1" s="383"/>
      <c r="TAP1" s="383"/>
      <c r="TAQ1" s="383"/>
      <c r="TAR1" s="383"/>
      <c r="TAS1" s="383"/>
      <c r="TAT1" s="383"/>
      <c r="TAU1" s="383"/>
      <c r="TAV1" s="383"/>
      <c r="TAW1" s="383"/>
      <c r="TAX1" s="383"/>
      <c r="TAY1" s="383"/>
      <c r="TAZ1" s="383"/>
      <c r="TBA1" s="383"/>
      <c r="TBB1" s="383"/>
      <c r="TBC1" s="383"/>
      <c r="TBD1" s="383"/>
      <c r="TBE1" s="383"/>
      <c r="TBF1" s="383"/>
      <c r="TBG1" s="383"/>
      <c r="TBH1" s="383"/>
      <c r="TBI1" s="383"/>
      <c r="TBJ1" s="383"/>
      <c r="TBK1" s="383"/>
      <c r="TBL1" s="383"/>
      <c r="TBM1" s="383"/>
      <c r="TBN1" s="383"/>
      <c r="TBO1" s="383"/>
      <c r="TBP1" s="383"/>
      <c r="TBQ1" s="383"/>
      <c r="TBR1" s="383"/>
      <c r="TBS1" s="383"/>
      <c r="TBT1" s="383"/>
      <c r="TBU1" s="383"/>
      <c r="TBV1" s="383"/>
      <c r="TBW1" s="383"/>
      <c r="TBX1" s="383"/>
      <c r="TBY1" s="383"/>
      <c r="TBZ1" s="383"/>
      <c r="TCA1" s="383"/>
      <c r="TCB1" s="383"/>
      <c r="TCC1" s="383"/>
      <c r="TCD1" s="383"/>
      <c r="TCE1" s="383"/>
      <c r="TCF1" s="383"/>
      <c r="TCG1" s="383"/>
      <c r="TCH1" s="383"/>
      <c r="TCI1" s="383"/>
      <c r="TCJ1" s="383"/>
      <c r="TCK1" s="383"/>
      <c r="TCL1" s="383"/>
      <c r="TCM1" s="383"/>
      <c r="TCN1" s="383"/>
      <c r="TCO1" s="383"/>
      <c r="TCP1" s="383"/>
      <c r="TCQ1" s="383"/>
      <c r="TCR1" s="383"/>
      <c r="TCS1" s="383"/>
      <c r="TCT1" s="383"/>
      <c r="TCU1" s="383"/>
      <c r="TCV1" s="383"/>
      <c r="TCW1" s="383"/>
      <c r="TCX1" s="383"/>
      <c r="TCY1" s="383"/>
      <c r="TCZ1" s="383"/>
      <c r="TDA1" s="383"/>
      <c r="TDB1" s="383"/>
      <c r="TDC1" s="383"/>
      <c r="TDD1" s="383"/>
      <c r="TDE1" s="383"/>
      <c r="TDF1" s="383"/>
      <c r="TDG1" s="383"/>
      <c r="TDH1" s="383"/>
      <c r="TDI1" s="383"/>
      <c r="TDJ1" s="383"/>
      <c r="TDK1" s="383"/>
      <c r="TDL1" s="383"/>
      <c r="TDM1" s="383"/>
      <c r="TDN1" s="383"/>
      <c r="TDO1" s="383"/>
      <c r="TDP1" s="383"/>
      <c r="TDQ1" s="383"/>
      <c r="TDR1" s="383"/>
      <c r="TDS1" s="383"/>
      <c r="TDT1" s="383"/>
      <c r="TDU1" s="383"/>
      <c r="TDV1" s="383"/>
      <c r="TDW1" s="383"/>
      <c r="TDX1" s="383"/>
      <c r="TDY1" s="383"/>
      <c r="TDZ1" s="383"/>
      <c r="TEA1" s="383"/>
      <c r="TEB1" s="383"/>
      <c r="TEC1" s="383"/>
      <c r="TED1" s="383"/>
      <c r="TEE1" s="383"/>
      <c r="TEF1" s="383"/>
      <c r="TEG1" s="383"/>
      <c r="TEH1" s="383"/>
      <c r="TEI1" s="383"/>
      <c r="TEJ1" s="383"/>
      <c r="TEK1" s="383"/>
      <c r="TEL1" s="383"/>
      <c r="TEM1" s="383"/>
      <c r="TEN1" s="383"/>
      <c r="TEO1" s="383"/>
      <c r="TEP1" s="383"/>
      <c r="TEQ1" s="383"/>
      <c r="TER1" s="383"/>
      <c r="TES1" s="383"/>
      <c r="TET1" s="383"/>
      <c r="TEU1" s="383"/>
      <c r="TEV1" s="383"/>
      <c r="TEW1" s="383"/>
      <c r="TEX1" s="383"/>
      <c r="TEY1" s="383"/>
      <c r="TEZ1" s="383"/>
      <c r="TFA1" s="383"/>
      <c r="TFB1" s="383"/>
      <c r="TFC1" s="383"/>
      <c r="TFD1" s="383"/>
      <c r="TFE1" s="383"/>
      <c r="TFF1" s="383"/>
      <c r="TFG1" s="383"/>
      <c r="TFH1" s="383"/>
      <c r="TFI1" s="383"/>
      <c r="TFJ1" s="383"/>
      <c r="TFK1" s="383"/>
      <c r="TFL1" s="383"/>
      <c r="TFM1" s="383"/>
      <c r="TFN1" s="383"/>
      <c r="TFO1" s="383"/>
      <c r="TFP1" s="383"/>
      <c r="TFQ1" s="383"/>
      <c r="TFR1" s="383"/>
      <c r="TFS1" s="383"/>
      <c r="TFT1" s="383"/>
      <c r="TFU1" s="383"/>
      <c r="TFV1" s="383"/>
      <c r="TFW1" s="383"/>
      <c r="TFX1" s="383"/>
      <c r="TFY1" s="383"/>
      <c r="TFZ1" s="383"/>
      <c r="TGA1" s="383"/>
      <c r="TGB1" s="383"/>
      <c r="TGC1" s="383"/>
      <c r="TGD1" s="383"/>
      <c r="TGE1" s="383"/>
      <c r="TGF1" s="383"/>
      <c r="TGG1" s="383"/>
      <c r="TGH1" s="383"/>
      <c r="TGI1" s="383"/>
      <c r="TGJ1" s="383"/>
      <c r="TGK1" s="383"/>
      <c r="TGL1" s="383"/>
      <c r="TGM1" s="383"/>
      <c r="TGN1" s="383"/>
      <c r="TGO1" s="383"/>
      <c r="TGP1" s="383"/>
      <c r="TGQ1" s="383"/>
      <c r="TGR1" s="383"/>
      <c r="TGS1" s="383"/>
      <c r="TGT1" s="383"/>
      <c r="TGU1" s="383"/>
      <c r="TGV1" s="383"/>
      <c r="TGW1" s="383"/>
      <c r="TGX1" s="383"/>
      <c r="TGY1" s="383"/>
      <c r="TGZ1" s="383"/>
      <c r="THA1" s="383"/>
      <c r="THB1" s="383"/>
      <c r="THC1" s="383"/>
      <c r="THD1" s="383"/>
      <c r="THE1" s="383"/>
      <c r="THF1" s="383"/>
      <c r="THG1" s="383"/>
      <c r="THH1" s="383"/>
      <c r="THI1" s="383"/>
      <c r="THJ1" s="383"/>
      <c r="THK1" s="383"/>
      <c r="THL1" s="383"/>
      <c r="THM1" s="383"/>
      <c r="THN1" s="383"/>
      <c r="THO1" s="383"/>
      <c r="THP1" s="383"/>
      <c r="THQ1" s="383"/>
      <c r="THR1" s="383"/>
      <c r="THS1" s="383"/>
      <c r="THT1" s="383"/>
      <c r="THU1" s="383"/>
      <c r="THV1" s="383"/>
      <c r="THW1" s="383"/>
      <c r="THX1" s="383"/>
      <c r="THY1" s="383"/>
      <c r="THZ1" s="383"/>
      <c r="TIA1" s="383"/>
      <c r="TIB1" s="383"/>
      <c r="TIC1" s="383"/>
      <c r="TID1" s="383"/>
      <c r="TIE1" s="383"/>
      <c r="TIF1" s="383"/>
      <c r="TIG1" s="383"/>
      <c r="TIH1" s="383"/>
      <c r="TII1" s="383"/>
      <c r="TIJ1" s="383"/>
      <c r="TIK1" s="383"/>
      <c r="TIL1" s="383"/>
      <c r="TIM1" s="383"/>
      <c r="TIN1" s="383"/>
      <c r="TIO1" s="383"/>
      <c r="TIP1" s="383"/>
      <c r="TIQ1" s="383"/>
      <c r="TIR1" s="383"/>
      <c r="TIS1" s="383"/>
      <c r="TIT1" s="383"/>
      <c r="TIU1" s="383"/>
      <c r="TIV1" s="383"/>
      <c r="TIW1" s="383"/>
      <c r="TIX1" s="383"/>
      <c r="TIY1" s="383"/>
      <c r="TIZ1" s="383"/>
      <c r="TJA1" s="383"/>
      <c r="TJB1" s="383"/>
      <c r="TJC1" s="383"/>
      <c r="TJD1" s="383"/>
      <c r="TJE1" s="383"/>
      <c r="TJF1" s="383"/>
      <c r="TJG1" s="383"/>
      <c r="TJH1" s="383"/>
      <c r="TJI1" s="383"/>
      <c r="TJJ1" s="383"/>
      <c r="TJK1" s="383"/>
      <c r="TJL1" s="383"/>
      <c r="TJM1" s="383"/>
      <c r="TJN1" s="383"/>
      <c r="TJO1" s="383"/>
      <c r="TJP1" s="383"/>
      <c r="TJQ1" s="383"/>
      <c r="TJR1" s="383"/>
      <c r="TJS1" s="383"/>
      <c r="TJT1" s="383"/>
      <c r="TJU1" s="383"/>
      <c r="TJV1" s="383"/>
      <c r="TJW1" s="383"/>
      <c r="TJX1" s="383"/>
      <c r="TJY1" s="383"/>
      <c r="TJZ1" s="383"/>
      <c r="TKA1" s="383"/>
      <c r="TKB1" s="383"/>
      <c r="TKC1" s="383"/>
      <c r="TKD1" s="383"/>
      <c r="TKE1" s="383"/>
      <c r="TKF1" s="383"/>
      <c r="TKG1" s="383"/>
      <c r="TKH1" s="383"/>
      <c r="TKI1" s="383"/>
      <c r="TKJ1" s="383"/>
      <c r="TKK1" s="383"/>
      <c r="TKL1" s="383"/>
      <c r="TKM1" s="383"/>
      <c r="TKN1" s="383"/>
      <c r="TKO1" s="383"/>
      <c r="TKP1" s="383"/>
      <c r="TKQ1" s="383"/>
      <c r="TKR1" s="383"/>
      <c r="TKS1" s="383"/>
      <c r="TKT1" s="383"/>
      <c r="TKU1" s="383"/>
      <c r="TKV1" s="383"/>
      <c r="TKW1" s="383"/>
      <c r="TKX1" s="383"/>
      <c r="TKY1" s="383"/>
      <c r="TKZ1" s="383"/>
      <c r="TLA1" s="383"/>
      <c r="TLB1" s="383"/>
      <c r="TLC1" s="383"/>
      <c r="TLD1" s="383"/>
      <c r="TLE1" s="383"/>
      <c r="TLF1" s="383"/>
      <c r="TLG1" s="383"/>
      <c r="TLH1" s="383"/>
      <c r="TLI1" s="383"/>
      <c r="TLJ1" s="383"/>
      <c r="TLK1" s="383"/>
      <c r="TLL1" s="383"/>
      <c r="TLM1" s="383"/>
      <c r="TLN1" s="383"/>
      <c r="TLO1" s="383"/>
      <c r="TLP1" s="383"/>
      <c r="TLQ1" s="383"/>
      <c r="TLR1" s="383"/>
      <c r="TLS1" s="383"/>
      <c r="TLT1" s="383"/>
      <c r="TLU1" s="383"/>
      <c r="TLV1" s="383"/>
      <c r="TLW1" s="383"/>
      <c r="TLX1" s="383"/>
      <c r="TLY1" s="383"/>
      <c r="TLZ1" s="383"/>
      <c r="TMA1" s="383"/>
      <c r="TMB1" s="383"/>
      <c r="TMC1" s="383"/>
      <c r="TMD1" s="383"/>
      <c r="TME1" s="383"/>
      <c r="TMF1" s="383"/>
      <c r="TMG1" s="383"/>
      <c r="TMH1" s="383"/>
      <c r="TMI1" s="383"/>
      <c r="TMJ1" s="383"/>
      <c r="TMK1" s="383"/>
      <c r="TML1" s="383"/>
      <c r="TMM1" s="383"/>
      <c r="TMN1" s="383"/>
      <c r="TMO1" s="383"/>
      <c r="TMP1" s="383"/>
      <c r="TMQ1" s="383"/>
      <c r="TMR1" s="383"/>
      <c r="TMS1" s="383"/>
      <c r="TMT1" s="383"/>
      <c r="TMU1" s="383"/>
      <c r="TMV1" s="383"/>
      <c r="TMW1" s="383"/>
      <c r="TMX1" s="383"/>
      <c r="TMY1" s="383"/>
      <c r="TMZ1" s="383"/>
      <c r="TNA1" s="383"/>
      <c r="TNB1" s="383"/>
      <c r="TNC1" s="383"/>
      <c r="TND1" s="383"/>
      <c r="TNE1" s="383"/>
      <c r="TNF1" s="383"/>
      <c r="TNG1" s="383"/>
      <c r="TNH1" s="383"/>
      <c r="TNI1" s="383"/>
      <c r="TNJ1" s="383"/>
      <c r="TNK1" s="383"/>
      <c r="TNL1" s="383"/>
      <c r="TNM1" s="383"/>
      <c r="TNN1" s="383"/>
      <c r="TNO1" s="383"/>
      <c r="TNP1" s="383"/>
      <c r="TNQ1" s="383"/>
      <c r="TNR1" s="383"/>
      <c r="TNS1" s="383"/>
      <c r="TNT1" s="383"/>
      <c r="TNU1" s="383"/>
      <c r="TNV1" s="383"/>
      <c r="TNW1" s="383"/>
      <c r="TNX1" s="383"/>
      <c r="TNY1" s="383"/>
      <c r="TNZ1" s="383"/>
      <c r="TOA1" s="383"/>
      <c r="TOB1" s="383"/>
      <c r="TOC1" s="383"/>
      <c r="TOD1" s="383"/>
      <c r="TOE1" s="383"/>
      <c r="TOF1" s="383"/>
      <c r="TOG1" s="383"/>
      <c r="TOH1" s="383"/>
      <c r="TOI1" s="383"/>
      <c r="TOJ1" s="383"/>
      <c r="TOK1" s="383"/>
      <c r="TOL1" s="383"/>
      <c r="TOM1" s="383"/>
      <c r="TON1" s="383"/>
      <c r="TOO1" s="383"/>
      <c r="TOP1" s="383"/>
      <c r="TOQ1" s="383"/>
      <c r="TOR1" s="383"/>
      <c r="TOS1" s="383"/>
      <c r="TOT1" s="383"/>
      <c r="TOU1" s="383"/>
      <c r="TOV1" s="383"/>
      <c r="TOW1" s="383"/>
      <c r="TOX1" s="383"/>
      <c r="TOY1" s="383"/>
      <c r="TOZ1" s="383"/>
      <c r="TPA1" s="383"/>
      <c r="TPB1" s="383"/>
      <c r="TPC1" s="383"/>
      <c r="TPD1" s="383"/>
      <c r="TPE1" s="383"/>
      <c r="TPF1" s="383"/>
      <c r="TPG1" s="383"/>
      <c r="TPH1" s="383"/>
      <c r="TPI1" s="383"/>
      <c r="TPJ1" s="383"/>
      <c r="TPK1" s="383"/>
      <c r="TPL1" s="383"/>
      <c r="TPM1" s="383"/>
      <c r="TPN1" s="383"/>
      <c r="TPO1" s="383"/>
      <c r="TPP1" s="383"/>
      <c r="TPQ1" s="383"/>
      <c r="TPR1" s="383"/>
      <c r="TPS1" s="383"/>
      <c r="TPT1" s="383"/>
      <c r="TPU1" s="383"/>
      <c r="TPV1" s="383"/>
      <c r="TPW1" s="383"/>
      <c r="TPX1" s="383"/>
      <c r="TPY1" s="383"/>
      <c r="TPZ1" s="383"/>
      <c r="TQA1" s="383"/>
      <c r="TQB1" s="383"/>
      <c r="TQC1" s="383"/>
      <c r="TQD1" s="383"/>
      <c r="TQE1" s="383"/>
      <c r="TQF1" s="383"/>
      <c r="TQG1" s="383"/>
      <c r="TQH1" s="383"/>
      <c r="TQI1" s="383"/>
      <c r="TQJ1" s="383"/>
      <c r="TQK1" s="383"/>
      <c r="TQL1" s="383"/>
      <c r="TQM1" s="383"/>
      <c r="TQN1" s="383"/>
      <c r="TQO1" s="383"/>
      <c r="TQP1" s="383"/>
      <c r="TQQ1" s="383"/>
      <c r="TQR1" s="383"/>
      <c r="TQS1" s="383"/>
      <c r="TQT1" s="383"/>
      <c r="TQU1" s="383"/>
      <c r="TQV1" s="383"/>
      <c r="TQW1" s="383"/>
      <c r="TQX1" s="383"/>
      <c r="TQY1" s="383"/>
      <c r="TQZ1" s="383"/>
      <c r="TRA1" s="383"/>
      <c r="TRB1" s="383"/>
      <c r="TRC1" s="383"/>
      <c r="TRD1" s="383"/>
      <c r="TRE1" s="383"/>
      <c r="TRF1" s="383"/>
      <c r="TRG1" s="383"/>
      <c r="TRH1" s="383"/>
      <c r="TRI1" s="383"/>
      <c r="TRJ1" s="383"/>
      <c r="TRK1" s="383"/>
      <c r="TRL1" s="383"/>
      <c r="TRM1" s="383"/>
      <c r="TRN1" s="383"/>
      <c r="TRO1" s="383"/>
      <c r="TRP1" s="383"/>
      <c r="TRQ1" s="383"/>
      <c r="TRR1" s="383"/>
      <c r="TRS1" s="383"/>
      <c r="TRT1" s="383"/>
      <c r="TRU1" s="383"/>
      <c r="TRV1" s="383"/>
      <c r="TRW1" s="383"/>
      <c r="TRX1" s="383"/>
      <c r="TRY1" s="383"/>
      <c r="TRZ1" s="383"/>
      <c r="TSA1" s="383"/>
      <c r="TSB1" s="383"/>
      <c r="TSC1" s="383"/>
      <c r="TSD1" s="383"/>
      <c r="TSE1" s="383"/>
      <c r="TSF1" s="383"/>
      <c r="TSG1" s="383"/>
      <c r="TSH1" s="383"/>
      <c r="TSI1" s="383"/>
      <c r="TSJ1" s="383"/>
      <c r="TSK1" s="383"/>
      <c r="TSL1" s="383"/>
      <c r="TSM1" s="383"/>
      <c r="TSN1" s="383"/>
      <c r="TSO1" s="383"/>
      <c r="TSP1" s="383"/>
      <c r="TSQ1" s="383"/>
      <c r="TSR1" s="383"/>
      <c r="TSS1" s="383"/>
      <c r="TST1" s="383"/>
      <c r="TSU1" s="383"/>
      <c r="TSV1" s="383"/>
      <c r="TSW1" s="383"/>
      <c r="TSX1" s="383"/>
      <c r="TSY1" s="383"/>
      <c r="TSZ1" s="383"/>
      <c r="TTA1" s="383"/>
      <c r="TTB1" s="383"/>
      <c r="TTC1" s="383"/>
      <c r="TTD1" s="383"/>
      <c r="TTE1" s="383"/>
      <c r="TTF1" s="383"/>
      <c r="TTG1" s="383"/>
      <c r="TTH1" s="383"/>
      <c r="TTI1" s="383"/>
      <c r="TTJ1" s="383"/>
      <c r="TTK1" s="383"/>
      <c r="TTL1" s="383"/>
      <c r="TTM1" s="383"/>
      <c r="TTN1" s="383"/>
      <c r="TTO1" s="383"/>
      <c r="TTP1" s="383"/>
      <c r="TTQ1" s="383"/>
      <c r="TTR1" s="383"/>
      <c r="TTS1" s="383"/>
      <c r="TTT1" s="383"/>
      <c r="TTU1" s="383"/>
      <c r="TTV1" s="383"/>
      <c r="TTW1" s="383"/>
      <c r="TTX1" s="383"/>
      <c r="TTY1" s="383"/>
      <c r="TTZ1" s="383"/>
      <c r="TUA1" s="383"/>
      <c r="TUB1" s="383"/>
      <c r="TUC1" s="383"/>
      <c r="TUD1" s="383"/>
      <c r="TUE1" s="383"/>
      <c r="TUF1" s="383"/>
      <c r="TUG1" s="383"/>
      <c r="TUH1" s="383"/>
      <c r="TUI1" s="383"/>
      <c r="TUJ1" s="383"/>
      <c r="TUK1" s="383"/>
      <c r="TUL1" s="383"/>
      <c r="TUM1" s="383"/>
      <c r="TUN1" s="383"/>
      <c r="TUO1" s="383"/>
      <c r="TUP1" s="383"/>
      <c r="TUQ1" s="383"/>
      <c r="TUR1" s="383"/>
      <c r="TUS1" s="383"/>
      <c r="TUT1" s="383"/>
      <c r="TUU1" s="383"/>
      <c r="TUV1" s="383"/>
      <c r="TUW1" s="383"/>
      <c r="TUX1" s="383"/>
      <c r="TUY1" s="383"/>
      <c r="TUZ1" s="383"/>
      <c r="TVA1" s="383"/>
      <c r="TVB1" s="383"/>
      <c r="TVC1" s="383"/>
      <c r="TVD1" s="383"/>
      <c r="TVE1" s="383"/>
      <c r="TVF1" s="383"/>
      <c r="TVG1" s="383"/>
      <c r="TVH1" s="383"/>
      <c r="TVI1" s="383"/>
      <c r="TVJ1" s="383"/>
      <c r="TVK1" s="383"/>
      <c r="TVL1" s="383"/>
      <c r="TVM1" s="383"/>
      <c r="TVN1" s="383"/>
      <c r="TVO1" s="383"/>
      <c r="TVP1" s="383"/>
      <c r="TVQ1" s="383"/>
      <c r="TVR1" s="383"/>
      <c r="TVS1" s="383"/>
      <c r="TVT1" s="383"/>
      <c r="TVU1" s="383"/>
      <c r="TVV1" s="383"/>
      <c r="TVW1" s="383"/>
      <c r="TVX1" s="383"/>
      <c r="TVY1" s="383"/>
      <c r="TVZ1" s="383"/>
      <c r="TWA1" s="383"/>
      <c r="TWB1" s="383"/>
      <c r="TWC1" s="383"/>
      <c r="TWD1" s="383"/>
      <c r="TWE1" s="383"/>
      <c r="TWF1" s="383"/>
      <c r="TWG1" s="383"/>
      <c r="TWH1" s="383"/>
      <c r="TWI1" s="383"/>
      <c r="TWJ1" s="383"/>
      <c r="TWK1" s="383"/>
      <c r="TWL1" s="383"/>
      <c r="TWM1" s="383"/>
      <c r="TWN1" s="383"/>
      <c r="TWO1" s="383"/>
      <c r="TWP1" s="383"/>
      <c r="TWQ1" s="383"/>
      <c r="TWR1" s="383"/>
      <c r="TWS1" s="383"/>
      <c r="TWT1" s="383"/>
      <c r="TWU1" s="383"/>
      <c r="TWV1" s="383"/>
      <c r="TWW1" s="383"/>
      <c r="TWX1" s="383"/>
      <c r="TWY1" s="383"/>
      <c r="TWZ1" s="383"/>
      <c r="TXA1" s="383"/>
      <c r="TXB1" s="383"/>
      <c r="TXC1" s="383"/>
      <c r="TXD1" s="383"/>
      <c r="TXE1" s="383"/>
      <c r="TXF1" s="383"/>
      <c r="TXG1" s="383"/>
      <c r="TXH1" s="383"/>
      <c r="TXI1" s="383"/>
      <c r="TXJ1" s="383"/>
      <c r="TXK1" s="383"/>
      <c r="TXL1" s="383"/>
      <c r="TXM1" s="383"/>
      <c r="TXN1" s="383"/>
      <c r="TXO1" s="383"/>
      <c r="TXP1" s="383"/>
      <c r="TXQ1" s="383"/>
      <c r="TXR1" s="383"/>
      <c r="TXS1" s="383"/>
      <c r="TXT1" s="383"/>
      <c r="TXU1" s="383"/>
      <c r="TXV1" s="383"/>
      <c r="TXW1" s="383"/>
      <c r="TXX1" s="383"/>
      <c r="TXY1" s="383"/>
      <c r="TXZ1" s="383"/>
      <c r="TYA1" s="383"/>
      <c r="TYB1" s="383"/>
      <c r="TYC1" s="383"/>
      <c r="TYD1" s="383"/>
      <c r="TYE1" s="383"/>
      <c r="TYF1" s="383"/>
      <c r="TYG1" s="383"/>
      <c r="TYH1" s="383"/>
      <c r="TYI1" s="383"/>
      <c r="TYJ1" s="383"/>
      <c r="TYK1" s="383"/>
      <c r="TYL1" s="383"/>
      <c r="TYM1" s="383"/>
      <c r="TYN1" s="383"/>
      <c r="TYO1" s="383"/>
      <c r="TYP1" s="383"/>
      <c r="TYQ1" s="383"/>
      <c r="TYR1" s="383"/>
      <c r="TYS1" s="383"/>
      <c r="TYT1" s="383"/>
      <c r="TYU1" s="383"/>
      <c r="TYV1" s="383"/>
      <c r="TYW1" s="383"/>
      <c r="TYX1" s="383"/>
      <c r="TYY1" s="383"/>
      <c r="TYZ1" s="383"/>
      <c r="TZA1" s="383"/>
      <c r="TZB1" s="383"/>
      <c r="TZC1" s="383"/>
      <c r="TZD1" s="383"/>
      <c r="TZE1" s="383"/>
      <c r="TZF1" s="383"/>
      <c r="TZG1" s="383"/>
      <c r="TZH1" s="383"/>
      <c r="TZI1" s="383"/>
      <c r="TZJ1" s="383"/>
      <c r="TZK1" s="383"/>
      <c r="TZL1" s="383"/>
      <c r="TZM1" s="383"/>
      <c r="TZN1" s="383"/>
      <c r="TZO1" s="383"/>
      <c r="TZP1" s="383"/>
      <c r="TZQ1" s="383"/>
      <c r="TZR1" s="383"/>
      <c r="TZS1" s="383"/>
      <c r="TZT1" s="383"/>
      <c r="TZU1" s="383"/>
      <c r="TZV1" s="383"/>
      <c r="TZW1" s="383"/>
      <c r="TZX1" s="383"/>
      <c r="TZY1" s="383"/>
      <c r="TZZ1" s="383"/>
      <c r="UAA1" s="383"/>
      <c r="UAB1" s="383"/>
      <c r="UAC1" s="383"/>
      <c r="UAD1" s="383"/>
      <c r="UAE1" s="383"/>
      <c r="UAF1" s="383"/>
      <c r="UAG1" s="383"/>
      <c r="UAH1" s="383"/>
      <c r="UAI1" s="383"/>
      <c r="UAJ1" s="383"/>
      <c r="UAK1" s="383"/>
      <c r="UAL1" s="383"/>
      <c r="UAM1" s="383"/>
      <c r="UAN1" s="383"/>
      <c r="UAO1" s="383"/>
      <c r="UAP1" s="383"/>
      <c r="UAQ1" s="383"/>
      <c r="UAR1" s="383"/>
      <c r="UAS1" s="383"/>
      <c r="UAT1" s="383"/>
      <c r="UAU1" s="383"/>
      <c r="UAV1" s="383"/>
      <c r="UAW1" s="383"/>
      <c r="UAX1" s="383"/>
      <c r="UAY1" s="383"/>
      <c r="UAZ1" s="383"/>
      <c r="UBA1" s="383"/>
      <c r="UBB1" s="383"/>
      <c r="UBC1" s="383"/>
      <c r="UBD1" s="383"/>
      <c r="UBE1" s="383"/>
      <c r="UBF1" s="383"/>
      <c r="UBG1" s="383"/>
      <c r="UBH1" s="383"/>
      <c r="UBI1" s="383"/>
      <c r="UBJ1" s="383"/>
      <c r="UBK1" s="383"/>
      <c r="UBL1" s="383"/>
      <c r="UBM1" s="383"/>
      <c r="UBN1" s="383"/>
      <c r="UBO1" s="383"/>
      <c r="UBP1" s="383"/>
      <c r="UBQ1" s="383"/>
      <c r="UBR1" s="383"/>
      <c r="UBS1" s="383"/>
      <c r="UBT1" s="383"/>
      <c r="UBU1" s="383"/>
      <c r="UBV1" s="383"/>
      <c r="UBW1" s="383"/>
      <c r="UBX1" s="383"/>
      <c r="UBY1" s="383"/>
      <c r="UBZ1" s="383"/>
      <c r="UCA1" s="383"/>
      <c r="UCB1" s="383"/>
      <c r="UCC1" s="383"/>
      <c r="UCD1" s="383"/>
      <c r="UCE1" s="383"/>
      <c r="UCF1" s="383"/>
      <c r="UCG1" s="383"/>
      <c r="UCH1" s="383"/>
      <c r="UCI1" s="383"/>
      <c r="UCJ1" s="383"/>
      <c r="UCK1" s="383"/>
      <c r="UCL1" s="383"/>
      <c r="UCM1" s="383"/>
      <c r="UCN1" s="383"/>
      <c r="UCO1" s="383"/>
      <c r="UCP1" s="383"/>
      <c r="UCQ1" s="383"/>
      <c r="UCR1" s="383"/>
      <c r="UCS1" s="383"/>
      <c r="UCT1" s="383"/>
      <c r="UCU1" s="383"/>
      <c r="UCV1" s="383"/>
      <c r="UCW1" s="383"/>
      <c r="UCX1" s="383"/>
      <c r="UCY1" s="383"/>
      <c r="UCZ1" s="383"/>
      <c r="UDA1" s="383"/>
      <c r="UDB1" s="383"/>
      <c r="UDC1" s="383"/>
      <c r="UDD1" s="383"/>
      <c r="UDE1" s="383"/>
      <c r="UDF1" s="383"/>
      <c r="UDG1" s="383"/>
      <c r="UDH1" s="383"/>
      <c r="UDI1" s="383"/>
      <c r="UDJ1" s="383"/>
      <c r="UDK1" s="383"/>
      <c r="UDL1" s="383"/>
      <c r="UDM1" s="383"/>
      <c r="UDN1" s="383"/>
      <c r="UDO1" s="383"/>
      <c r="UDP1" s="383"/>
      <c r="UDQ1" s="383"/>
      <c r="UDR1" s="383"/>
      <c r="UDS1" s="383"/>
      <c r="UDT1" s="383"/>
      <c r="UDU1" s="383"/>
      <c r="UDV1" s="383"/>
      <c r="UDW1" s="383"/>
      <c r="UDX1" s="383"/>
      <c r="UDY1" s="383"/>
      <c r="UDZ1" s="383"/>
      <c r="UEA1" s="383"/>
      <c r="UEB1" s="383"/>
      <c r="UEC1" s="383"/>
      <c r="UED1" s="383"/>
      <c r="UEE1" s="383"/>
      <c r="UEF1" s="383"/>
      <c r="UEG1" s="383"/>
      <c r="UEH1" s="383"/>
      <c r="UEI1" s="383"/>
      <c r="UEJ1" s="383"/>
      <c r="UEK1" s="383"/>
      <c r="UEL1" s="383"/>
      <c r="UEM1" s="383"/>
      <c r="UEN1" s="383"/>
      <c r="UEO1" s="383"/>
      <c r="UEP1" s="383"/>
      <c r="UEQ1" s="383"/>
      <c r="UER1" s="383"/>
      <c r="UES1" s="383"/>
      <c r="UET1" s="383"/>
      <c r="UEU1" s="383"/>
      <c r="UEV1" s="383"/>
      <c r="UEW1" s="383"/>
      <c r="UEX1" s="383"/>
      <c r="UEY1" s="383"/>
      <c r="UEZ1" s="383"/>
      <c r="UFA1" s="383"/>
      <c r="UFB1" s="383"/>
      <c r="UFC1" s="383"/>
      <c r="UFD1" s="383"/>
      <c r="UFE1" s="383"/>
      <c r="UFF1" s="383"/>
      <c r="UFG1" s="383"/>
      <c r="UFH1" s="383"/>
      <c r="UFI1" s="383"/>
      <c r="UFJ1" s="383"/>
      <c r="UFK1" s="383"/>
      <c r="UFL1" s="383"/>
      <c r="UFM1" s="383"/>
      <c r="UFN1" s="383"/>
      <c r="UFO1" s="383"/>
      <c r="UFP1" s="383"/>
      <c r="UFQ1" s="383"/>
      <c r="UFR1" s="383"/>
      <c r="UFS1" s="383"/>
      <c r="UFT1" s="383"/>
      <c r="UFU1" s="383"/>
      <c r="UFV1" s="383"/>
      <c r="UFW1" s="383"/>
      <c r="UFX1" s="383"/>
      <c r="UFY1" s="383"/>
      <c r="UFZ1" s="383"/>
      <c r="UGA1" s="383"/>
      <c r="UGB1" s="383"/>
      <c r="UGC1" s="383"/>
      <c r="UGD1" s="383"/>
      <c r="UGE1" s="383"/>
      <c r="UGF1" s="383"/>
      <c r="UGG1" s="383"/>
      <c r="UGH1" s="383"/>
      <c r="UGI1" s="383"/>
      <c r="UGJ1" s="383"/>
      <c r="UGK1" s="383"/>
      <c r="UGL1" s="383"/>
      <c r="UGM1" s="383"/>
      <c r="UGN1" s="383"/>
      <c r="UGO1" s="383"/>
      <c r="UGP1" s="383"/>
      <c r="UGQ1" s="383"/>
      <c r="UGR1" s="383"/>
      <c r="UGS1" s="383"/>
      <c r="UGT1" s="383"/>
      <c r="UGU1" s="383"/>
      <c r="UGV1" s="383"/>
      <c r="UGW1" s="383"/>
      <c r="UGX1" s="383"/>
      <c r="UGY1" s="383"/>
      <c r="UGZ1" s="383"/>
      <c r="UHA1" s="383"/>
      <c r="UHB1" s="383"/>
      <c r="UHC1" s="383"/>
      <c r="UHD1" s="383"/>
      <c r="UHE1" s="383"/>
      <c r="UHF1" s="383"/>
      <c r="UHG1" s="383"/>
      <c r="UHH1" s="383"/>
      <c r="UHI1" s="383"/>
      <c r="UHJ1" s="383"/>
      <c r="UHK1" s="383"/>
      <c r="UHL1" s="383"/>
      <c r="UHM1" s="383"/>
      <c r="UHN1" s="383"/>
      <c r="UHO1" s="383"/>
      <c r="UHP1" s="383"/>
      <c r="UHQ1" s="383"/>
      <c r="UHR1" s="383"/>
      <c r="UHS1" s="383"/>
      <c r="UHT1" s="383"/>
      <c r="UHU1" s="383"/>
      <c r="UHV1" s="383"/>
      <c r="UHW1" s="383"/>
      <c r="UHX1" s="383"/>
      <c r="UHY1" s="383"/>
      <c r="UHZ1" s="383"/>
      <c r="UIA1" s="383"/>
      <c r="UIB1" s="383"/>
      <c r="UIC1" s="383"/>
      <c r="UID1" s="383"/>
      <c r="UIE1" s="383"/>
      <c r="UIF1" s="383"/>
      <c r="UIG1" s="383"/>
      <c r="UIH1" s="383"/>
      <c r="UII1" s="383"/>
      <c r="UIJ1" s="383"/>
      <c r="UIK1" s="383"/>
      <c r="UIL1" s="383"/>
      <c r="UIM1" s="383"/>
      <c r="UIN1" s="383"/>
      <c r="UIO1" s="383"/>
      <c r="UIP1" s="383"/>
      <c r="UIQ1" s="383"/>
      <c r="UIR1" s="383"/>
      <c r="UIS1" s="383"/>
      <c r="UIT1" s="383"/>
      <c r="UIU1" s="383"/>
      <c r="UIV1" s="383"/>
      <c r="UIW1" s="383"/>
      <c r="UIX1" s="383"/>
      <c r="UIY1" s="383"/>
      <c r="UIZ1" s="383"/>
      <c r="UJA1" s="383"/>
      <c r="UJB1" s="383"/>
      <c r="UJC1" s="383"/>
      <c r="UJD1" s="383"/>
      <c r="UJE1" s="383"/>
      <c r="UJF1" s="383"/>
      <c r="UJG1" s="383"/>
      <c r="UJH1" s="383"/>
      <c r="UJI1" s="383"/>
      <c r="UJJ1" s="383"/>
      <c r="UJK1" s="383"/>
      <c r="UJL1" s="383"/>
      <c r="UJM1" s="383"/>
      <c r="UJN1" s="383"/>
      <c r="UJO1" s="383"/>
      <c r="UJP1" s="383"/>
      <c r="UJQ1" s="383"/>
      <c r="UJR1" s="383"/>
      <c r="UJS1" s="383"/>
      <c r="UJT1" s="383"/>
      <c r="UJU1" s="383"/>
      <c r="UJV1" s="383"/>
      <c r="UJW1" s="383"/>
      <c r="UJX1" s="383"/>
      <c r="UJY1" s="383"/>
      <c r="UJZ1" s="383"/>
      <c r="UKA1" s="383"/>
      <c r="UKB1" s="383"/>
      <c r="UKC1" s="383"/>
      <c r="UKD1" s="383"/>
      <c r="UKE1" s="383"/>
      <c r="UKF1" s="383"/>
      <c r="UKG1" s="383"/>
      <c r="UKH1" s="383"/>
      <c r="UKI1" s="383"/>
      <c r="UKJ1" s="383"/>
      <c r="UKK1" s="383"/>
      <c r="UKL1" s="383"/>
      <c r="UKM1" s="383"/>
      <c r="UKN1" s="383"/>
      <c r="UKO1" s="383"/>
      <c r="UKP1" s="383"/>
      <c r="UKQ1" s="383"/>
      <c r="UKR1" s="383"/>
      <c r="UKS1" s="383"/>
      <c r="UKT1" s="383"/>
      <c r="UKU1" s="383"/>
      <c r="UKV1" s="383"/>
      <c r="UKW1" s="383"/>
      <c r="UKX1" s="383"/>
      <c r="UKY1" s="383"/>
      <c r="UKZ1" s="383"/>
      <c r="ULA1" s="383"/>
      <c r="ULB1" s="383"/>
      <c r="ULC1" s="383"/>
      <c r="ULD1" s="383"/>
      <c r="ULE1" s="383"/>
      <c r="ULF1" s="383"/>
      <c r="ULG1" s="383"/>
      <c r="ULH1" s="383"/>
      <c r="ULI1" s="383"/>
      <c r="ULJ1" s="383"/>
      <c r="ULK1" s="383"/>
      <c r="ULL1" s="383"/>
      <c r="ULM1" s="383"/>
      <c r="ULN1" s="383"/>
      <c r="ULO1" s="383"/>
      <c r="ULP1" s="383"/>
      <c r="ULQ1" s="383"/>
      <c r="ULR1" s="383"/>
      <c r="ULS1" s="383"/>
      <c r="ULT1" s="383"/>
      <c r="ULU1" s="383"/>
      <c r="ULV1" s="383"/>
      <c r="ULW1" s="383"/>
      <c r="ULX1" s="383"/>
      <c r="ULY1" s="383"/>
      <c r="ULZ1" s="383"/>
      <c r="UMA1" s="383"/>
      <c r="UMB1" s="383"/>
      <c r="UMC1" s="383"/>
      <c r="UMD1" s="383"/>
      <c r="UME1" s="383"/>
      <c r="UMF1" s="383"/>
      <c r="UMG1" s="383"/>
      <c r="UMH1" s="383"/>
      <c r="UMI1" s="383"/>
      <c r="UMJ1" s="383"/>
      <c r="UMK1" s="383"/>
      <c r="UML1" s="383"/>
      <c r="UMM1" s="383"/>
      <c r="UMN1" s="383"/>
      <c r="UMO1" s="383"/>
      <c r="UMP1" s="383"/>
      <c r="UMQ1" s="383"/>
      <c r="UMR1" s="383"/>
      <c r="UMS1" s="383"/>
      <c r="UMT1" s="383"/>
      <c r="UMU1" s="383"/>
      <c r="UMV1" s="383"/>
      <c r="UMW1" s="383"/>
      <c r="UMX1" s="383"/>
      <c r="UMY1" s="383"/>
      <c r="UMZ1" s="383"/>
      <c r="UNA1" s="383"/>
      <c r="UNB1" s="383"/>
      <c r="UNC1" s="383"/>
      <c r="UND1" s="383"/>
      <c r="UNE1" s="383"/>
      <c r="UNF1" s="383"/>
      <c r="UNG1" s="383"/>
      <c r="UNH1" s="383"/>
      <c r="UNI1" s="383"/>
      <c r="UNJ1" s="383"/>
      <c r="UNK1" s="383"/>
      <c r="UNL1" s="383"/>
      <c r="UNM1" s="383"/>
      <c r="UNN1" s="383"/>
      <c r="UNO1" s="383"/>
      <c r="UNP1" s="383"/>
      <c r="UNQ1" s="383"/>
      <c r="UNR1" s="383"/>
      <c r="UNS1" s="383"/>
      <c r="UNT1" s="383"/>
      <c r="UNU1" s="383"/>
      <c r="UNV1" s="383"/>
      <c r="UNW1" s="383"/>
      <c r="UNX1" s="383"/>
      <c r="UNY1" s="383"/>
      <c r="UNZ1" s="383"/>
      <c r="UOA1" s="383"/>
      <c r="UOB1" s="383"/>
      <c r="UOC1" s="383"/>
      <c r="UOD1" s="383"/>
      <c r="UOE1" s="383"/>
      <c r="UOF1" s="383"/>
      <c r="UOG1" s="383"/>
      <c r="UOH1" s="383"/>
      <c r="UOI1" s="383"/>
      <c r="UOJ1" s="383"/>
      <c r="UOK1" s="383"/>
      <c r="UOL1" s="383"/>
      <c r="UOM1" s="383"/>
      <c r="UON1" s="383"/>
      <c r="UOO1" s="383"/>
      <c r="UOP1" s="383"/>
      <c r="UOQ1" s="383"/>
      <c r="UOR1" s="383"/>
      <c r="UOS1" s="383"/>
      <c r="UOT1" s="383"/>
      <c r="UOU1" s="383"/>
      <c r="UOV1" s="383"/>
      <c r="UOW1" s="383"/>
      <c r="UOX1" s="383"/>
      <c r="UOY1" s="383"/>
      <c r="UOZ1" s="383"/>
      <c r="UPA1" s="383"/>
      <c r="UPB1" s="383"/>
      <c r="UPC1" s="383"/>
      <c r="UPD1" s="383"/>
      <c r="UPE1" s="383"/>
      <c r="UPF1" s="383"/>
      <c r="UPG1" s="383"/>
      <c r="UPH1" s="383"/>
      <c r="UPI1" s="383"/>
      <c r="UPJ1" s="383"/>
      <c r="UPK1" s="383"/>
      <c r="UPL1" s="383"/>
      <c r="UPM1" s="383"/>
      <c r="UPN1" s="383"/>
      <c r="UPO1" s="383"/>
      <c r="UPP1" s="383"/>
      <c r="UPQ1" s="383"/>
      <c r="UPR1" s="383"/>
      <c r="UPS1" s="383"/>
      <c r="UPT1" s="383"/>
      <c r="UPU1" s="383"/>
      <c r="UPV1" s="383"/>
      <c r="UPW1" s="383"/>
      <c r="UPX1" s="383"/>
      <c r="UPY1" s="383"/>
      <c r="UPZ1" s="383"/>
      <c r="UQA1" s="383"/>
      <c r="UQB1" s="383"/>
      <c r="UQC1" s="383"/>
      <c r="UQD1" s="383"/>
      <c r="UQE1" s="383"/>
      <c r="UQF1" s="383"/>
      <c r="UQG1" s="383"/>
      <c r="UQH1" s="383"/>
      <c r="UQI1" s="383"/>
      <c r="UQJ1" s="383"/>
      <c r="UQK1" s="383"/>
      <c r="UQL1" s="383"/>
      <c r="UQM1" s="383"/>
      <c r="UQN1" s="383"/>
      <c r="UQO1" s="383"/>
      <c r="UQP1" s="383"/>
      <c r="UQQ1" s="383"/>
      <c r="UQR1" s="383"/>
      <c r="UQS1" s="383"/>
      <c r="UQT1" s="383"/>
      <c r="UQU1" s="383"/>
      <c r="UQV1" s="383"/>
      <c r="UQW1" s="383"/>
      <c r="UQX1" s="383"/>
      <c r="UQY1" s="383"/>
      <c r="UQZ1" s="383"/>
      <c r="URA1" s="383"/>
      <c r="URB1" s="383"/>
      <c r="URC1" s="383"/>
      <c r="URD1" s="383"/>
      <c r="URE1" s="383"/>
      <c r="URF1" s="383"/>
      <c r="URG1" s="383"/>
      <c r="URH1" s="383"/>
      <c r="URI1" s="383"/>
      <c r="URJ1" s="383"/>
      <c r="URK1" s="383"/>
      <c r="URL1" s="383"/>
      <c r="URM1" s="383"/>
      <c r="URN1" s="383"/>
      <c r="URO1" s="383"/>
      <c r="URP1" s="383"/>
      <c r="URQ1" s="383"/>
      <c r="URR1" s="383"/>
      <c r="URS1" s="383"/>
      <c r="URT1" s="383"/>
      <c r="URU1" s="383"/>
      <c r="URV1" s="383"/>
      <c r="URW1" s="383"/>
      <c r="URX1" s="383"/>
      <c r="URY1" s="383"/>
      <c r="URZ1" s="383"/>
      <c r="USA1" s="383"/>
      <c r="USB1" s="383"/>
      <c r="USC1" s="383"/>
      <c r="USD1" s="383"/>
      <c r="USE1" s="383"/>
      <c r="USF1" s="383"/>
      <c r="USG1" s="383"/>
      <c r="USH1" s="383"/>
      <c r="USI1" s="383"/>
      <c r="USJ1" s="383"/>
      <c r="USK1" s="383"/>
      <c r="USL1" s="383"/>
      <c r="USM1" s="383"/>
      <c r="USN1" s="383"/>
      <c r="USO1" s="383"/>
      <c r="USP1" s="383"/>
      <c r="USQ1" s="383"/>
      <c r="USR1" s="383"/>
      <c r="USS1" s="383"/>
      <c r="UST1" s="383"/>
      <c r="USU1" s="383"/>
      <c r="USV1" s="383"/>
      <c r="USW1" s="383"/>
      <c r="USX1" s="383"/>
      <c r="USY1" s="383"/>
      <c r="USZ1" s="383"/>
      <c r="UTA1" s="383"/>
      <c r="UTB1" s="383"/>
      <c r="UTC1" s="383"/>
      <c r="UTD1" s="383"/>
      <c r="UTE1" s="383"/>
      <c r="UTF1" s="383"/>
      <c r="UTG1" s="383"/>
      <c r="UTH1" s="383"/>
      <c r="UTI1" s="383"/>
      <c r="UTJ1" s="383"/>
      <c r="UTK1" s="383"/>
      <c r="UTL1" s="383"/>
      <c r="UTM1" s="383"/>
      <c r="UTN1" s="383"/>
      <c r="UTO1" s="383"/>
      <c r="UTP1" s="383"/>
      <c r="UTQ1" s="383"/>
      <c r="UTR1" s="383"/>
      <c r="UTS1" s="383"/>
      <c r="UTT1" s="383"/>
      <c r="UTU1" s="383"/>
      <c r="UTV1" s="383"/>
      <c r="UTW1" s="383"/>
      <c r="UTX1" s="383"/>
      <c r="UTY1" s="383"/>
      <c r="UTZ1" s="383"/>
      <c r="UUA1" s="383"/>
      <c r="UUB1" s="383"/>
      <c r="UUC1" s="383"/>
      <c r="UUD1" s="383"/>
      <c r="UUE1" s="383"/>
      <c r="UUF1" s="383"/>
      <c r="UUG1" s="383"/>
      <c r="UUH1" s="383"/>
      <c r="UUI1" s="383"/>
      <c r="UUJ1" s="383"/>
      <c r="UUK1" s="383"/>
      <c r="UUL1" s="383"/>
      <c r="UUM1" s="383"/>
      <c r="UUN1" s="383"/>
      <c r="UUO1" s="383"/>
      <c r="UUP1" s="383"/>
      <c r="UUQ1" s="383"/>
      <c r="UUR1" s="383"/>
      <c r="UUS1" s="383"/>
      <c r="UUT1" s="383"/>
      <c r="UUU1" s="383"/>
      <c r="UUV1" s="383"/>
      <c r="UUW1" s="383"/>
      <c r="UUX1" s="383"/>
      <c r="UUY1" s="383"/>
      <c r="UUZ1" s="383"/>
      <c r="UVA1" s="383"/>
      <c r="UVB1" s="383"/>
      <c r="UVC1" s="383"/>
      <c r="UVD1" s="383"/>
      <c r="UVE1" s="383"/>
      <c r="UVF1" s="383"/>
      <c r="UVG1" s="383"/>
      <c r="UVH1" s="383"/>
      <c r="UVI1" s="383"/>
      <c r="UVJ1" s="383"/>
      <c r="UVK1" s="383"/>
      <c r="UVL1" s="383"/>
      <c r="UVM1" s="383"/>
      <c r="UVN1" s="383"/>
      <c r="UVO1" s="383"/>
      <c r="UVP1" s="383"/>
      <c r="UVQ1" s="383"/>
      <c r="UVR1" s="383"/>
      <c r="UVS1" s="383"/>
      <c r="UVT1" s="383"/>
      <c r="UVU1" s="383"/>
      <c r="UVV1" s="383"/>
      <c r="UVW1" s="383"/>
      <c r="UVX1" s="383"/>
      <c r="UVY1" s="383"/>
      <c r="UVZ1" s="383"/>
      <c r="UWA1" s="383"/>
      <c r="UWB1" s="383"/>
      <c r="UWC1" s="383"/>
      <c r="UWD1" s="383"/>
      <c r="UWE1" s="383"/>
      <c r="UWF1" s="383"/>
      <c r="UWG1" s="383"/>
      <c r="UWH1" s="383"/>
      <c r="UWI1" s="383"/>
      <c r="UWJ1" s="383"/>
      <c r="UWK1" s="383"/>
      <c r="UWL1" s="383"/>
      <c r="UWM1" s="383"/>
      <c r="UWN1" s="383"/>
      <c r="UWO1" s="383"/>
      <c r="UWP1" s="383"/>
      <c r="UWQ1" s="383"/>
      <c r="UWR1" s="383"/>
      <c r="UWS1" s="383"/>
      <c r="UWT1" s="383"/>
      <c r="UWU1" s="383"/>
      <c r="UWV1" s="383"/>
      <c r="UWW1" s="383"/>
      <c r="UWX1" s="383"/>
      <c r="UWY1" s="383"/>
      <c r="UWZ1" s="383"/>
      <c r="UXA1" s="383"/>
      <c r="UXB1" s="383"/>
      <c r="UXC1" s="383"/>
      <c r="UXD1" s="383"/>
      <c r="UXE1" s="383"/>
      <c r="UXF1" s="383"/>
      <c r="UXG1" s="383"/>
      <c r="UXH1" s="383"/>
      <c r="UXI1" s="383"/>
      <c r="UXJ1" s="383"/>
      <c r="UXK1" s="383"/>
      <c r="UXL1" s="383"/>
      <c r="UXM1" s="383"/>
      <c r="UXN1" s="383"/>
      <c r="UXO1" s="383"/>
      <c r="UXP1" s="383"/>
      <c r="UXQ1" s="383"/>
      <c r="UXR1" s="383"/>
      <c r="UXS1" s="383"/>
      <c r="UXT1" s="383"/>
      <c r="UXU1" s="383"/>
      <c r="UXV1" s="383"/>
      <c r="UXW1" s="383"/>
      <c r="UXX1" s="383"/>
      <c r="UXY1" s="383"/>
      <c r="UXZ1" s="383"/>
      <c r="UYA1" s="383"/>
      <c r="UYB1" s="383"/>
      <c r="UYC1" s="383"/>
      <c r="UYD1" s="383"/>
      <c r="UYE1" s="383"/>
      <c r="UYF1" s="383"/>
      <c r="UYG1" s="383"/>
      <c r="UYH1" s="383"/>
      <c r="UYI1" s="383"/>
      <c r="UYJ1" s="383"/>
      <c r="UYK1" s="383"/>
      <c r="UYL1" s="383"/>
      <c r="UYM1" s="383"/>
      <c r="UYN1" s="383"/>
      <c r="UYO1" s="383"/>
      <c r="UYP1" s="383"/>
      <c r="UYQ1" s="383"/>
      <c r="UYR1" s="383"/>
      <c r="UYS1" s="383"/>
      <c r="UYT1" s="383"/>
      <c r="UYU1" s="383"/>
      <c r="UYV1" s="383"/>
      <c r="UYW1" s="383"/>
      <c r="UYX1" s="383"/>
      <c r="UYY1" s="383"/>
      <c r="UYZ1" s="383"/>
      <c r="UZA1" s="383"/>
      <c r="UZB1" s="383"/>
      <c r="UZC1" s="383"/>
      <c r="UZD1" s="383"/>
      <c r="UZE1" s="383"/>
      <c r="UZF1" s="383"/>
      <c r="UZG1" s="383"/>
      <c r="UZH1" s="383"/>
      <c r="UZI1" s="383"/>
      <c r="UZJ1" s="383"/>
      <c r="UZK1" s="383"/>
      <c r="UZL1" s="383"/>
      <c r="UZM1" s="383"/>
      <c r="UZN1" s="383"/>
      <c r="UZO1" s="383"/>
      <c r="UZP1" s="383"/>
      <c r="UZQ1" s="383"/>
      <c r="UZR1" s="383"/>
      <c r="UZS1" s="383"/>
      <c r="UZT1" s="383"/>
      <c r="UZU1" s="383"/>
      <c r="UZV1" s="383"/>
      <c r="UZW1" s="383"/>
      <c r="UZX1" s="383"/>
      <c r="UZY1" s="383"/>
      <c r="UZZ1" s="383"/>
      <c r="VAA1" s="383"/>
      <c r="VAB1" s="383"/>
      <c r="VAC1" s="383"/>
      <c r="VAD1" s="383"/>
      <c r="VAE1" s="383"/>
      <c r="VAF1" s="383"/>
      <c r="VAG1" s="383"/>
      <c r="VAH1" s="383"/>
      <c r="VAI1" s="383"/>
      <c r="VAJ1" s="383"/>
      <c r="VAK1" s="383"/>
      <c r="VAL1" s="383"/>
      <c r="VAM1" s="383"/>
      <c r="VAN1" s="383"/>
      <c r="VAO1" s="383"/>
      <c r="VAP1" s="383"/>
      <c r="VAQ1" s="383"/>
      <c r="VAR1" s="383"/>
      <c r="VAS1" s="383"/>
      <c r="VAT1" s="383"/>
      <c r="VAU1" s="383"/>
      <c r="VAV1" s="383"/>
      <c r="VAW1" s="383"/>
      <c r="VAX1" s="383"/>
      <c r="VAY1" s="383"/>
      <c r="VAZ1" s="383"/>
      <c r="VBA1" s="383"/>
      <c r="VBB1" s="383"/>
      <c r="VBC1" s="383"/>
      <c r="VBD1" s="383"/>
      <c r="VBE1" s="383"/>
      <c r="VBF1" s="383"/>
      <c r="VBG1" s="383"/>
      <c r="VBH1" s="383"/>
      <c r="VBI1" s="383"/>
      <c r="VBJ1" s="383"/>
      <c r="VBK1" s="383"/>
      <c r="VBL1" s="383"/>
      <c r="VBM1" s="383"/>
      <c r="VBN1" s="383"/>
      <c r="VBO1" s="383"/>
      <c r="VBP1" s="383"/>
      <c r="VBQ1" s="383"/>
      <c r="VBR1" s="383"/>
      <c r="VBS1" s="383"/>
      <c r="VBT1" s="383"/>
      <c r="VBU1" s="383"/>
      <c r="VBV1" s="383"/>
      <c r="VBW1" s="383"/>
      <c r="VBX1" s="383"/>
      <c r="VBY1" s="383"/>
      <c r="VBZ1" s="383"/>
      <c r="VCA1" s="383"/>
      <c r="VCB1" s="383"/>
      <c r="VCC1" s="383"/>
      <c r="VCD1" s="383"/>
      <c r="VCE1" s="383"/>
      <c r="VCF1" s="383"/>
      <c r="VCG1" s="383"/>
      <c r="VCH1" s="383"/>
      <c r="VCI1" s="383"/>
      <c r="VCJ1" s="383"/>
      <c r="VCK1" s="383"/>
      <c r="VCL1" s="383"/>
      <c r="VCM1" s="383"/>
      <c r="VCN1" s="383"/>
      <c r="VCO1" s="383"/>
      <c r="VCP1" s="383"/>
      <c r="VCQ1" s="383"/>
      <c r="VCR1" s="383"/>
      <c r="VCS1" s="383"/>
      <c r="VCT1" s="383"/>
      <c r="VCU1" s="383"/>
      <c r="VCV1" s="383"/>
      <c r="VCW1" s="383"/>
      <c r="VCX1" s="383"/>
      <c r="VCY1" s="383"/>
      <c r="VCZ1" s="383"/>
      <c r="VDA1" s="383"/>
      <c r="VDB1" s="383"/>
      <c r="VDC1" s="383"/>
      <c r="VDD1" s="383"/>
      <c r="VDE1" s="383"/>
      <c r="VDF1" s="383"/>
      <c r="VDG1" s="383"/>
      <c r="VDH1" s="383"/>
      <c r="VDI1" s="383"/>
      <c r="VDJ1" s="383"/>
      <c r="VDK1" s="383"/>
      <c r="VDL1" s="383"/>
      <c r="VDM1" s="383"/>
      <c r="VDN1" s="383"/>
      <c r="VDO1" s="383"/>
      <c r="VDP1" s="383"/>
      <c r="VDQ1" s="383"/>
      <c r="VDR1" s="383"/>
      <c r="VDS1" s="383"/>
      <c r="VDT1" s="383"/>
      <c r="VDU1" s="383"/>
      <c r="VDV1" s="383"/>
      <c r="VDW1" s="383"/>
      <c r="VDX1" s="383"/>
      <c r="VDY1" s="383"/>
      <c r="VDZ1" s="383"/>
      <c r="VEA1" s="383"/>
      <c r="VEB1" s="383"/>
      <c r="VEC1" s="383"/>
      <c r="VED1" s="383"/>
      <c r="VEE1" s="383"/>
      <c r="VEF1" s="383"/>
      <c r="VEG1" s="383"/>
      <c r="VEH1" s="383"/>
      <c r="VEI1" s="383"/>
      <c r="VEJ1" s="383"/>
      <c r="VEK1" s="383"/>
      <c r="VEL1" s="383"/>
      <c r="VEM1" s="383"/>
      <c r="VEN1" s="383"/>
      <c r="VEO1" s="383"/>
      <c r="VEP1" s="383"/>
      <c r="VEQ1" s="383"/>
      <c r="VER1" s="383"/>
      <c r="VES1" s="383"/>
      <c r="VET1" s="383"/>
      <c r="VEU1" s="383"/>
      <c r="VEV1" s="383"/>
      <c r="VEW1" s="383"/>
      <c r="VEX1" s="383"/>
      <c r="VEY1" s="383"/>
      <c r="VEZ1" s="383"/>
      <c r="VFA1" s="383"/>
      <c r="VFB1" s="383"/>
      <c r="VFC1" s="383"/>
      <c r="VFD1" s="383"/>
      <c r="VFE1" s="383"/>
      <c r="VFF1" s="383"/>
      <c r="VFG1" s="383"/>
      <c r="VFH1" s="383"/>
      <c r="VFI1" s="383"/>
      <c r="VFJ1" s="383"/>
      <c r="VFK1" s="383"/>
      <c r="VFL1" s="383"/>
      <c r="VFM1" s="383"/>
      <c r="VFN1" s="383"/>
      <c r="VFO1" s="383"/>
      <c r="VFP1" s="383"/>
      <c r="VFQ1" s="383"/>
      <c r="VFR1" s="383"/>
      <c r="VFS1" s="383"/>
      <c r="VFT1" s="383"/>
      <c r="VFU1" s="383"/>
      <c r="VFV1" s="383"/>
      <c r="VFW1" s="383"/>
      <c r="VFX1" s="383"/>
      <c r="VFY1" s="383"/>
      <c r="VFZ1" s="383"/>
      <c r="VGA1" s="383"/>
      <c r="VGB1" s="383"/>
      <c r="VGC1" s="383"/>
      <c r="VGD1" s="383"/>
      <c r="VGE1" s="383"/>
      <c r="VGF1" s="383"/>
      <c r="VGG1" s="383"/>
      <c r="VGH1" s="383"/>
      <c r="VGI1" s="383"/>
      <c r="VGJ1" s="383"/>
      <c r="VGK1" s="383"/>
      <c r="VGL1" s="383"/>
      <c r="VGM1" s="383"/>
      <c r="VGN1" s="383"/>
      <c r="VGO1" s="383"/>
      <c r="VGP1" s="383"/>
      <c r="VGQ1" s="383"/>
      <c r="VGR1" s="383"/>
      <c r="VGS1" s="383"/>
      <c r="VGT1" s="383"/>
      <c r="VGU1" s="383"/>
      <c r="VGV1" s="383"/>
      <c r="VGW1" s="383"/>
      <c r="VGX1" s="383"/>
      <c r="VGY1" s="383"/>
      <c r="VGZ1" s="383"/>
      <c r="VHA1" s="383"/>
      <c r="VHB1" s="383"/>
      <c r="VHC1" s="383"/>
      <c r="VHD1" s="383"/>
      <c r="VHE1" s="383"/>
      <c r="VHF1" s="383"/>
      <c r="VHG1" s="383"/>
      <c r="VHH1" s="383"/>
      <c r="VHI1" s="383"/>
      <c r="VHJ1" s="383"/>
      <c r="VHK1" s="383"/>
      <c r="VHL1" s="383"/>
      <c r="VHM1" s="383"/>
      <c r="VHN1" s="383"/>
      <c r="VHO1" s="383"/>
      <c r="VHP1" s="383"/>
      <c r="VHQ1" s="383"/>
      <c r="VHR1" s="383"/>
      <c r="VHS1" s="383"/>
      <c r="VHT1" s="383"/>
      <c r="VHU1" s="383"/>
      <c r="VHV1" s="383"/>
      <c r="VHW1" s="383"/>
      <c r="VHX1" s="383"/>
      <c r="VHY1" s="383"/>
      <c r="VHZ1" s="383"/>
      <c r="VIA1" s="383"/>
      <c r="VIB1" s="383"/>
      <c r="VIC1" s="383"/>
      <c r="VID1" s="383"/>
      <c r="VIE1" s="383"/>
      <c r="VIF1" s="383"/>
      <c r="VIG1" s="383"/>
      <c r="VIH1" s="383"/>
      <c r="VII1" s="383"/>
      <c r="VIJ1" s="383"/>
      <c r="VIK1" s="383"/>
      <c r="VIL1" s="383"/>
      <c r="VIM1" s="383"/>
      <c r="VIN1" s="383"/>
      <c r="VIO1" s="383"/>
      <c r="VIP1" s="383"/>
      <c r="VIQ1" s="383"/>
      <c r="VIR1" s="383"/>
      <c r="VIS1" s="383"/>
      <c r="VIT1" s="383"/>
      <c r="VIU1" s="383"/>
      <c r="VIV1" s="383"/>
      <c r="VIW1" s="383"/>
      <c r="VIX1" s="383"/>
      <c r="VIY1" s="383"/>
      <c r="VIZ1" s="383"/>
      <c r="VJA1" s="383"/>
      <c r="VJB1" s="383"/>
      <c r="VJC1" s="383"/>
      <c r="VJD1" s="383"/>
      <c r="VJE1" s="383"/>
      <c r="VJF1" s="383"/>
      <c r="VJG1" s="383"/>
      <c r="VJH1" s="383"/>
      <c r="VJI1" s="383"/>
      <c r="VJJ1" s="383"/>
      <c r="VJK1" s="383"/>
      <c r="VJL1" s="383"/>
      <c r="VJM1" s="383"/>
      <c r="VJN1" s="383"/>
      <c r="VJO1" s="383"/>
      <c r="VJP1" s="383"/>
      <c r="VJQ1" s="383"/>
      <c r="VJR1" s="383"/>
      <c r="VJS1" s="383"/>
      <c r="VJT1" s="383"/>
      <c r="VJU1" s="383"/>
      <c r="VJV1" s="383"/>
      <c r="VJW1" s="383"/>
      <c r="VJX1" s="383"/>
      <c r="VJY1" s="383"/>
      <c r="VJZ1" s="383"/>
      <c r="VKA1" s="383"/>
      <c r="VKB1" s="383"/>
      <c r="VKC1" s="383"/>
      <c r="VKD1" s="383"/>
      <c r="VKE1" s="383"/>
      <c r="VKF1" s="383"/>
      <c r="VKG1" s="383"/>
      <c r="VKH1" s="383"/>
      <c r="VKI1" s="383"/>
      <c r="VKJ1" s="383"/>
      <c r="VKK1" s="383"/>
      <c r="VKL1" s="383"/>
      <c r="VKM1" s="383"/>
      <c r="VKN1" s="383"/>
      <c r="VKO1" s="383"/>
      <c r="VKP1" s="383"/>
      <c r="VKQ1" s="383"/>
      <c r="VKR1" s="383"/>
      <c r="VKS1" s="383"/>
      <c r="VKT1" s="383"/>
      <c r="VKU1" s="383"/>
      <c r="VKV1" s="383"/>
      <c r="VKW1" s="383"/>
      <c r="VKX1" s="383"/>
      <c r="VKY1" s="383"/>
      <c r="VKZ1" s="383"/>
      <c r="VLA1" s="383"/>
      <c r="VLB1" s="383"/>
      <c r="VLC1" s="383"/>
      <c r="VLD1" s="383"/>
      <c r="VLE1" s="383"/>
      <c r="VLF1" s="383"/>
      <c r="VLG1" s="383"/>
      <c r="VLH1" s="383"/>
      <c r="VLI1" s="383"/>
      <c r="VLJ1" s="383"/>
      <c r="VLK1" s="383"/>
      <c r="VLL1" s="383"/>
      <c r="VLM1" s="383"/>
      <c r="VLN1" s="383"/>
      <c r="VLO1" s="383"/>
      <c r="VLP1" s="383"/>
      <c r="VLQ1" s="383"/>
      <c r="VLR1" s="383"/>
      <c r="VLS1" s="383"/>
      <c r="VLT1" s="383"/>
      <c r="VLU1" s="383"/>
      <c r="VLV1" s="383"/>
      <c r="VLW1" s="383"/>
      <c r="VLX1" s="383"/>
      <c r="VLY1" s="383"/>
      <c r="VLZ1" s="383"/>
      <c r="VMA1" s="383"/>
      <c r="VMB1" s="383"/>
      <c r="VMC1" s="383"/>
      <c r="VMD1" s="383"/>
      <c r="VME1" s="383"/>
      <c r="VMF1" s="383"/>
      <c r="VMG1" s="383"/>
      <c r="VMH1" s="383"/>
      <c r="VMI1" s="383"/>
      <c r="VMJ1" s="383"/>
      <c r="VMK1" s="383"/>
      <c r="VML1" s="383"/>
      <c r="VMM1" s="383"/>
      <c r="VMN1" s="383"/>
      <c r="VMO1" s="383"/>
      <c r="VMP1" s="383"/>
      <c r="VMQ1" s="383"/>
      <c r="VMR1" s="383"/>
      <c r="VMS1" s="383"/>
      <c r="VMT1" s="383"/>
      <c r="VMU1" s="383"/>
      <c r="VMV1" s="383"/>
      <c r="VMW1" s="383"/>
      <c r="VMX1" s="383"/>
      <c r="VMY1" s="383"/>
      <c r="VMZ1" s="383"/>
      <c r="VNA1" s="383"/>
      <c r="VNB1" s="383"/>
      <c r="VNC1" s="383"/>
      <c r="VND1" s="383"/>
      <c r="VNE1" s="383"/>
      <c r="VNF1" s="383"/>
      <c r="VNG1" s="383"/>
      <c r="VNH1" s="383"/>
      <c r="VNI1" s="383"/>
      <c r="VNJ1" s="383"/>
      <c r="VNK1" s="383"/>
      <c r="VNL1" s="383"/>
      <c r="VNM1" s="383"/>
      <c r="VNN1" s="383"/>
      <c r="VNO1" s="383"/>
      <c r="VNP1" s="383"/>
      <c r="VNQ1" s="383"/>
      <c r="VNR1" s="383"/>
      <c r="VNS1" s="383"/>
      <c r="VNT1" s="383"/>
      <c r="VNU1" s="383"/>
      <c r="VNV1" s="383"/>
      <c r="VNW1" s="383"/>
      <c r="VNX1" s="383"/>
      <c r="VNY1" s="383"/>
      <c r="VNZ1" s="383"/>
      <c r="VOA1" s="383"/>
      <c r="VOB1" s="383"/>
      <c r="VOC1" s="383"/>
      <c r="VOD1" s="383"/>
      <c r="VOE1" s="383"/>
      <c r="VOF1" s="383"/>
      <c r="VOG1" s="383"/>
      <c r="VOH1" s="383"/>
      <c r="VOI1" s="383"/>
      <c r="VOJ1" s="383"/>
      <c r="VOK1" s="383"/>
      <c r="VOL1" s="383"/>
      <c r="VOM1" s="383"/>
      <c r="VON1" s="383"/>
      <c r="VOO1" s="383"/>
      <c r="VOP1" s="383"/>
      <c r="VOQ1" s="383"/>
      <c r="VOR1" s="383"/>
      <c r="VOS1" s="383"/>
      <c r="VOT1" s="383"/>
      <c r="VOU1" s="383"/>
      <c r="VOV1" s="383"/>
      <c r="VOW1" s="383"/>
      <c r="VOX1" s="383"/>
      <c r="VOY1" s="383"/>
      <c r="VOZ1" s="383"/>
      <c r="VPA1" s="383"/>
      <c r="VPB1" s="383"/>
      <c r="VPC1" s="383"/>
      <c r="VPD1" s="383"/>
      <c r="VPE1" s="383"/>
      <c r="VPF1" s="383"/>
      <c r="VPG1" s="383"/>
      <c r="VPH1" s="383"/>
      <c r="VPI1" s="383"/>
      <c r="VPJ1" s="383"/>
      <c r="VPK1" s="383"/>
      <c r="VPL1" s="383"/>
      <c r="VPM1" s="383"/>
      <c r="VPN1" s="383"/>
      <c r="VPO1" s="383"/>
      <c r="VPP1" s="383"/>
      <c r="VPQ1" s="383"/>
      <c r="VPR1" s="383"/>
      <c r="VPS1" s="383"/>
      <c r="VPT1" s="383"/>
      <c r="VPU1" s="383"/>
      <c r="VPV1" s="383"/>
      <c r="VPW1" s="383"/>
      <c r="VPX1" s="383"/>
      <c r="VPY1" s="383"/>
      <c r="VPZ1" s="383"/>
      <c r="VQA1" s="383"/>
      <c r="VQB1" s="383"/>
      <c r="VQC1" s="383"/>
      <c r="VQD1" s="383"/>
      <c r="VQE1" s="383"/>
      <c r="VQF1" s="383"/>
      <c r="VQG1" s="383"/>
      <c r="VQH1" s="383"/>
      <c r="VQI1" s="383"/>
      <c r="VQJ1" s="383"/>
      <c r="VQK1" s="383"/>
      <c r="VQL1" s="383"/>
      <c r="VQM1" s="383"/>
      <c r="VQN1" s="383"/>
      <c r="VQO1" s="383"/>
      <c r="VQP1" s="383"/>
      <c r="VQQ1" s="383"/>
      <c r="VQR1" s="383"/>
      <c r="VQS1" s="383"/>
      <c r="VQT1" s="383"/>
      <c r="VQU1" s="383"/>
      <c r="VQV1" s="383"/>
      <c r="VQW1" s="383"/>
      <c r="VQX1" s="383"/>
      <c r="VQY1" s="383"/>
      <c r="VQZ1" s="383"/>
      <c r="VRA1" s="383"/>
      <c r="VRB1" s="383"/>
      <c r="VRC1" s="383"/>
      <c r="VRD1" s="383"/>
      <c r="VRE1" s="383"/>
      <c r="VRF1" s="383"/>
      <c r="VRG1" s="383"/>
      <c r="VRH1" s="383"/>
      <c r="VRI1" s="383"/>
      <c r="VRJ1" s="383"/>
      <c r="VRK1" s="383"/>
      <c r="VRL1" s="383"/>
      <c r="VRM1" s="383"/>
      <c r="VRN1" s="383"/>
      <c r="VRO1" s="383"/>
      <c r="VRP1" s="383"/>
      <c r="VRQ1" s="383"/>
      <c r="VRR1" s="383"/>
      <c r="VRS1" s="383"/>
      <c r="VRT1" s="383"/>
      <c r="VRU1" s="383"/>
      <c r="VRV1" s="383"/>
      <c r="VRW1" s="383"/>
      <c r="VRX1" s="383"/>
      <c r="VRY1" s="383"/>
      <c r="VRZ1" s="383"/>
      <c r="VSA1" s="383"/>
      <c r="VSB1" s="383"/>
      <c r="VSC1" s="383"/>
      <c r="VSD1" s="383"/>
      <c r="VSE1" s="383"/>
      <c r="VSF1" s="383"/>
      <c r="VSG1" s="383"/>
      <c r="VSH1" s="383"/>
      <c r="VSI1" s="383"/>
      <c r="VSJ1" s="383"/>
      <c r="VSK1" s="383"/>
      <c r="VSL1" s="383"/>
      <c r="VSM1" s="383"/>
      <c r="VSN1" s="383"/>
      <c r="VSO1" s="383"/>
      <c r="VSP1" s="383"/>
      <c r="VSQ1" s="383"/>
      <c r="VSR1" s="383"/>
      <c r="VSS1" s="383"/>
      <c r="VST1" s="383"/>
      <c r="VSU1" s="383"/>
      <c r="VSV1" s="383"/>
      <c r="VSW1" s="383"/>
      <c r="VSX1" s="383"/>
      <c r="VSY1" s="383"/>
      <c r="VSZ1" s="383"/>
      <c r="VTA1" s="383"/>
      <c r="VTB1" s="383"/>
      <c r="VTC1" s="383"/>
      <c r="VTD1" s="383"/>
      <c r="VTE1" s="383"/>
      <c r="VTF1" s="383"/>
      <c r="VTG1" s="383"/>
      <c r="VTH1" s="383"/>
      <c r="VTI1" s="383"/>
      <c r="VTJ1" s="383"/>
      <c r="VTK1" s="383"/>
      <c r="VTL1" s="383"/>
      <c r="VTM1" s="383"/>
      <c r="VTN1" s="383"/>
      <c r="VTO1" s="383"/>
      <c r="VTP1" s="383"/>
      <c r="VTQ1" s="383"/>
      <c r="VTR1" s="383"/>
      <c r="VTS1" s="383"/>
      <c r="VTT1" s="383"/>
      <c r="VTU1" s="383"/>
      <c r="VTV1" s="383"/>
      <c r="VTW1" s="383"/>
      <c r="VTX1" s="383"/>
      <c r="VTY1" s="383"/>
      <c r="VTZ1" s="383"/>
      <c r="VUA1" s="383"/>
      <c r="VUB1" s="383"/>
      <c r="VUC1" s="383"/>
      <c r="VUD1" s="383"/>
      <c r="VUE1" s="383"/>
      <c r="VUF1" s="383"/>
      <c r="VUG1" s="383"/>
      <c r="VUH1" s="383"/>
      <c r="VUI1" s="383"/>
      <c r="VUJ1" s="383"/>
      <c r="VUK1" s="383"/>
      <c r="VUL1" s="383"/>
      <c r="VUM1" s="383"/>
      <c r="VUN1" s="383"/>
      <c r="VUO1" s="383"/>
      <c r="VUP1" s="383"/>
      <c r="VUQ1" s="383"/>
      <c r="VUR1" s="383"/>
      <c r="VUS1" s="383"/>
      <c r="VUT1" s="383"/>
      <c r="VUU1" s="383"/>
      <c r="VUV1" s="383"/>
      <c r="VUW1" s="383"/>
      <c r="VUX1" s="383"/>
      <c r="VUY1" s="383"/>
      <c r="VUZ1" s="383"/>
      <c r="VVA1" s="383"/>
      <c r="VVB1" s="383"/>
      <c r="VVC1" s="383"/>
      <c r="VVD1" s="383"/>
      <c r="VVE1" s="383"/>
      <c r="VVF1" s="383"/>
      <c r="VVG1" s="383"/>
      <c r="VVH1" s="383"/>
      <c r="VVI1" s="383"/>
      <c r="VVJ1" s="383"/>
      <c r="VVK1" s="383"/>
      <c r="VVL1" s="383"/>
      <c r="VVM1" s="383"/>
      <c r="VVN1" s="383"/>
      <c r="VVO1" s="383"/>
      <c r="VVP1" s="383"/>
      <c r="VVQ1" s="383"/>
      <c r="VVR1" s="383"/>
      <c r="VVS1" s="383"/>
      <c r="VVT1" s="383"/>
      <c r="VVU1" s="383"/>
      <c r="VVV1" s="383"/>
      <c r="VVW1" s="383"/>
      <c r="VVX1" s="383"/>
      <c r="VVY1" s="383"/>
      <c r="VVZ1" s="383"/>
      <c r="VWA1" s="383"/>
      <c r="VWB1" s="383"/>
      <c r="VWC1" s="383"/>
      <c r="VWD1" s="383"/>
      <c r="VWE1" s="383"/>
      <c r="VWF1" s="383"/>
      <c r="VWG1" s="383"/>
      <c r="VWH1" s="383"/>
      <c r="VWI1" s="383"/>
      <c r="VWJ1" s="383"/>
      <c r="VWK1" s="383"/>
      <c r="VWL1" s="383"/>
      <c r="VWM1" s="383"/>
      <c r="VWN1" s="383"/>
      <c r="VWO1" s="383"/>
      <c r="VWP1" s="383"/>
      <c r="VWQ1" s="383"/>
      <c r="VWR1" s="383"/>
      <c r="VWS1" s="383"/>
      <c r="VWT1" s="383"/>
      <c r="VWU1" s="383"/>
      <c r="VWV1" s="383"/>
      <c r="VWW1" s="383"/>
      <c r="VWX1" s="383"/>
      <c r="VWY1" s="383"/>
      <c r="VWZ1" s="383"/>
      <c r="VXA1" s="383"/>
      <c r="VXB1" s="383"/>
      <c r="VXC1" s="383"/>
      <c r="VXD1" s="383"/>
      <c r="VXE1" s="383"/>
      <c r="VXF1" s="383"/>
      <c r="VXG1" s="383"/>
      <c r="VXH1" s="383"/>
      <c r="VXI1" s="383"/>
      <c r="VXJ1" s="383"/>
      <c r="VXK1" s="383"/>
      <c r="VXL1" s="383"/>
      <c r="VXM1" s="383"/>
      <c r="VXN1" s="383"/>
      <c r="VXO1" s="383"/>
      <c r="VXP1" s="383"/>
      <c r="VXQ1" s="383"/>
      <c r="VXR1" s="383"/>
      <c r="VXS1" s="383"/>
      <c r="VXT1" s="383"/>
      <c r="VXU1" s="383"/>
      <c r="VXV1" s="383"/>
      <c r="VXW1" s="383"/>
      <c r="VXX1" s="383"/>
      <c r="VXY1" s="383"/>
      <c r="VXZ1" s="383"/>
      <c r="VYA1" s="383"/>
      <c r="VYB1" s="383"/>
      <c r="VYC1" s="383"/>
      <c r="VYD1" s="383"/>
      <c r="VYE1" s="383"/>
      <c r="VYF1" s="383"/>
      <c r="VYG1" s="383"/>
      <c r="VYH1" s="383"/>
      <c r="VYI1" s="383"/>
      <c r="VYJ1" s="383"/>
      <c r="VYK1" s="383"/>
      <c r="VYL1" s="383"/>
      <c r="VYM1" s="383"/>
      <c r="VYN1" s="383"/>
      <c r="VYO1" s="383"/>
      <c r="VYP1" s="383"/>
      <c r="VYQ1" s="383"/>
      <c r="VYR1" s="383"/>
      <c r="VYS1" s="383"/>
      <c r="VYT1" s="383"/>
      <c r="VYU1" s="383"/>
      <c r="VYV1" s="383"/>
      <c r="VYW1" s="383"/>
      <c r="VYX1" s="383"/>
      <c r="VYY1" s="383"/>
      <c r="VYZ1" s="383"/>
      <c r="VZA1" s="383"/>
      <c r="VZB1" s="383"/>
      <c r="VZC1" s="383"/>
      <c r="VZD1" s="383"/>
      <c r="VZE1" s="383"/>
      <c r="VZF1" s="383"/>
      <c r="VZG1" s="383"/>
      <c r="VZH1" s="383"/>
      <c r="VZI1" s="383"/>
      <c r="VZJ1" s="383"/>
      <c r="VZK1" s="383"/>
      <c r="VZL1" s="383"/>
      <c r="VZM1" s="383"/>
      <c r="VZN1" s="383"/>
      <c r="VZO1" s="383"/>
      <c r="VZP1" s="383"/>
      <c r="VZQ1" s="383"/>
      <c r="VZR1" s="383"/>
      <c r="VZS1" s="383"/>
      <c r="VZT1" s="383"/>
      <c r="VZU1" s="383"/>
      <c r="VZV1" s="383"/>
      <c r="VZW1" s="383"/>
      <c r="VZX1" s="383"/>
      <c r="VZY1" s="383"/>
      <c r="VZZ1" s="383"/>
      <c r="WAA1" s="383"/>
      <c r="WAB1" s="383"/>
      <c r="WAC1" s="383"/>
      <c r="WAD1" s="383"/>
      <c r="WAE1" s="383"/>
      <c r="WAF1" s="383"/>
      <c r="WAG1" s="383"/>
      <c r="WAH1" s="383"/>
      <c r="WAI1" s="383"/>
      <c r="WAJ1" s="383"/>
      <c r="WAK1" s="383"/>
      <c r="WAL1" s="383"/>
      <c r="WAM1" s="383"/>
      <c r="WAN1" s="383"/>
      <c r="WAO1" s="383"/>
      <c r="WAP1" s="383"/>
      <c r="WAQ1" s="383"/>
      <c r="WAR1" s="383"/>
      <c r="WAS1" s="383"/>
      <c r="WAT1" s="383"/>
      <c r="WAU1" s="383"/>
      <c r="WAV1" s="383"/>
      <c r="WAW1" s="383"/>
      <c r="WAX1" s="383"/>
      <c r="WAY1" s="383"/>
      <c r="WAZ1" s="383"/>
      <c r="WBA1" s="383"/>
      <c r="WBB1" s="383"/>
      <c r="WBC1" s="383"/>
      <c r="WBD1" s="383"/>
      <c r="WBE1" s="383"/>
      <c r="WBF1" s="383"/>
      <c r="WBG1" s="383"/>
      <c r="WBH1" s="383"/>
      <c r="WBI1" s="383"/>
      <c r="WBJ1" s="383"/>
      <c r="WBK1" s="383"/>
      <c r="WBL1" s="383"/>
      <c r="WBM1" s="383"/>
      <c r="WBN1" s="383"/>
      <c r="WBO1" s="383"/>
      <c r="WBP1" s="383"/>
      <c r="WBQ1" s="383"/>
      <c r="WBR1" s="383"/>
      <c r="WBS1" s="383"/>
      <c r="WBT1" s="383"/>
      <c r="WBU1" s="383"/>
      <c r="WBV1" s="383"/>
      <c r="WBW1" s="383"/>
      <c r="WBX1" s="383"/>
      <c r="WBY1" s="383"/>
      <c r="WBZ1" s="383"/>
      <c r="WCA1" s="383"/>
      <c r="WCB1" s="383"/>
      <c r="WCC1" s="383"/>
      <c r="WCD1" s="383"/>
      <c r="WCE1" s="383"/>
      <c r="WCF1" s="383"/>
      <c r="WCG1" s="383"/>
      <c r="WCH1" s="383"/>
      <c r="WCI1" s="383"/>
      <c r="WCJ1" s="383"/>
      <c r="WCK1" s="383"/>
      <c r="WCL1" s="383"/>
      <c r="WCM1" s="383"/>
      <c r="WCN1" s="383"/>
      <c r="WCO1" s="383"/>
      <c r="WCP1" s="383"/>
      <c r="WCQ1" s="383"/>
      <c r="WCR1" s="383"/>
      <c r="WCS1" s="383"/>
      <c r="WCT1" s="383"/>
      <c r="WCU1" s="383"/>
      <c r="WCV1" s="383"/>
      <c r="WCW1" s="383"/>
      <c r="WCX1" s="383"/>
      <c r="WCY1" s="383"/>
      <c r="WCZ1" s="383"/>
      <c r="WDA1" s="383"/>
      <c r="WDB1" s="383"/>
      <c r="WDC1" s="383"/>
      <c r="WDD1" s="383"/>
      <c r="WDE1" s="383"/>
      <c r="WDF1" s="383"/>
      <c r="WDG1" s="383"/>
      <c r="WDH1" s="383"/>
      <c r="WDI1" s="383"/>
      <c r="WDJ1" s="383"/>
      <c r="WDK1" s="383"/>
      <c r="WDL1" s="383"/>
      <c r="WDM1" s="383"/>
      <c r="WDN1" s="383"/>
      <c r="WDO1" s="383"/>
      <c r="WDP1" s="383"/>
      <c r="WDQ1" s="383"/>
      <c r="WDR1" s="383"/>
      <c r="WDS1" s="383"/>
      <c r="WDT1" s="383"/>
      <c r="WDU1" s="383"/>
      <c r="WDV1" s="383"/>
      <c r="WDW1" s="383"/>
      <c r="WDX1" s="383"/>
      <c r="WDY1" s="383"/>
      <c r="WDZ1" s="383"/>
      <c r="WEA1" s="383"/>
      <c r="WEB1" s="383"/>
      <c r="WEC1" s="383"/>
      <c r="WED1" s="383"/>
      <c r="WEE1" s="383"/>
      <c r="WEF1" s="383"/>
      <c r="WEG1" s="383"/>
      <c r="WEH1" s="383"/>
      <c r="WEI1" s="383"/>
      <c r="WEJ1" s="383"/>
      <c r="WEK1" s="383"/>
      <c r="WEL1" s="383"/>
      <c r="WEM1" s="383"/>
      <c r="WEN1" s="383"/>
      <c r="WEO1" s="383"/>
      <c r="WEP1" s="383"/>
      <c r="WEQ1" s="383"/>
      <c r="WER1" s="383"/>
      <c r="WES1" s="383"/>
      <c r="WET1" s="383"/>
      <c r="WEU1" s="383"/>
      <c r="WEV1" s="383"/>
      <c r="WEW1" s="383"/>
      <c r="WEX1" s="383"/>
      <c r="WEY1" s="383"/>
      <c r="WEZ1" s="383"/>
      <c r="WFA1" s="383"/>
      <c r="WFB1" s="383"/>
      <c r="WFC1" s="383"/>
      <c r="WFD1" s="383"/>
      <c r="WFE1" s="383"/>
      <c r="WFF1" s="383"/>
      <c r="WFG1" s="383"/>
      <c r="WFH1" s="383"/>
      <c r="WFI1" s="383"/>
      <c r="WFJ1" s="383"/>
      <c r="WFK1" s="383"/>
      <c r="WFL1" s="383"/>
      <c r="WFM1" s="383"/>
      <c r="WFN1" s="383"/>
      <c r="WFO1" s="383"/>
      <c r="WFP1" s="383"/>
      <c r="WFQ1" s="383"/>
      <c r="WFR1" s="383"/>
      <c r="WFS1" s="383"/>
      <c r="WFT1" s="383"/>
      <c r="WFU1" s="383"/>
      <c r="WFV1" s="383"/>
      <c r="WFW1" s="383"/>
      <c r="WFX1" s="383"/>
      <c r="WFY1" s="383"/>
      <c r="WFZ1" s="383"/>
      <c r="WGA1" s="383"/>
      <c r="WGB1" s="383"/>
      <c r="WGC1" s="383"/>
      <c r="WGD1" s="383"/>
      <c r="WGE1" s="383"/>
      <c r="WGF1" s="383"/>
      <c r="WGG1" s="383"/>
      <c r="WGH1" s="383"/>
      <c r="WGI1" s="383"/>
      <c r="WGJ1" s="383"/>
      <c r="WGK1" s="383"/>
      <c r="WGL1" s="383"/>
      <c r="WGM1" s="383"/>
      <c r="WGN1" s="383"/>
      <c r="WGO1" s="383"/>
      <c r="WGP1" s="383"/>
      <c r="WGQ1" s="383"/>
      <c r="WGR1" s="383"/>
      <c r="WGS1" s="383"/>
      <c r="WGT1" s="383"/>
      <c r="WGU1" s="383"/>
      <c r="WGV1" s="383"/>
      <c r="WGW1" s="383"/>
      <c r="WGX1" s="383"/>
      <c r="WGY1" s="383"/>
      <c r="WGZ1" s="383"/>
      <c r="WHA1" s="383"/>
      <c r="WHB1" s="383"/>
      <c r="WHC1" s="383"/>
      <c r="WHD1" s="383"/>
      <c r="WHE1" s="383"/>
      <c r="WHF1" s="383"/>
      <c r="WHG1" s="383"/>
      <c r="WHH1" s="383"/>
      <c r="WHI1" s="383"/>
      <c r="WHJ1" s="383"/>
      <c r="WHK1" s="383"/>
      <c r="WHL1" s="383"/>
      <c r="WHM1" s="383"/>
      <c r="WHN1" s="383"/>
      <c r="WHO1" s="383"/>
      <c r="WHP1" s="383"/>
      <c r="WHQ1" s="383"/>
      <c r="WHR1" s="383"/>
      <c r="WHS1" s="383"/>
      <c r="WHT1" s="383"/>
      <c r="WHU1" s="383"/>
      <c r="WHV1" s="383"/>
      <c r="WHW1" s="383"/>
      <c r="WHX1" s="383"/>
      <c r="WHY1" s="383"/>
      <c r="WHZ1" s="383"/>
      <c r="WIA1" s="383"/>
      <c r="WIB1" s="383"/>
      <c r="WIC1" s="383"/>
      <c r="WID1" s="383"/>
      <c r="WIE1" s="383"/>
      <c r="WIF1" s="383"/>
      <c r="WIG1" s="383"/>
      <c r="WIH1" s="383"/>
      <c r="WII1" s="383"/>
      <c r="WIJ1" s="383"/>
      <c r="WIK1" s="383"/>
      <c r="WIL1" s="383"/>
      <c r="WIM1" s="383"/>
      <c r="WIN1" s="383"/>
      <c r="WIO1" s="383"/>
      <c r="WIP1" s="383"/>
      <c r="WIQ1" s="383"/>
      <c r="WIR1" s="383"/>
      <c r="WIS1" s="383"/>
      <c r="WIT1" s="383"/>
      <c r="WIU1" s="383"/>
      <c r="WIV1" s="383"/>
      <c r="WIW1" s="383"/>
      <c r="WIX1" s="383"/>
      <c r="WIY1" s="383"/>
      <c r="WIZ1" s="383"/>
      <c r="WJA1" s="383"/>
      <c r="WJB1" s="383"/>
      <c r="WJC1" s="383"/>
      <c r="WJD1" s="383"/>
      <c r="WJE1" s="383"/>
      <c r="WJF1" s="383"/>
      <c r="WJG1" s="383"/>
      <c r="WJH1" s="383"/>
      <c r="WJI1" s="383"/>
      <c r="WJJ1" s="383"/>
      <c r="WJK1" s="383"/>
      <c r="WJL1" s="383"/>
      <c r="WJM1" s="383"/>
      <c r="WJN1" s="383"/>
      <c r="WJO1" s="383"/>
      <c r="WJP1" s="383"/>
      <c r="WJQ1" s="383"/>
      <c r="WJR1" s="383"/>
      <c r="WJS1" s="383"/>
      <c r="WJT1" s="383"/>
      <c r="WJU1" s="383"/>
      <c r="WJV1" s="383"/>
      <c r="WJW1" s="383"/>
      <c r="WJX1" s="383"/>
      <c r="WJY1" s="383"/>
      <c r="WJZ1" s="383"/>
      <c r="WKA1" s="383"/>
      <c r="WKB1" s="383"/>
      <c r="WKC1" s="383"/>
      <c r="WKD1" s="383"/>
      <c r="WKE1" s="383"/>
      <c r="WKF1" s="383"/>
      <c r="WKG1" s="383"/>
      <c r="WKH1" s="383"/>
      <c r="WKI1" s="383"/>
      <c r="WKJ1" s="383"/>
      <c r="WKK1" s="383"/>
      <c r="WKL1" s="383"/>
      <c r="WKM1" s="383"/>
      <c r="WKN1" s="383"/>
      <c r="WKO1" s="383"/>
      <c r="WKP1" s="383"/>
      <c r="WKQ1" s="383"/>
      <c r="WKR1" s="383"/>
      <c r="WKS1" s="383"/>
      <c r="WKT1" s="383"/>
      <c r="WKU1" s="383"/>
      <c r="WKV1" s="383"/>
      <c r="WKW1" s="383"/>
      <c r="WKX1" s="383"/>
      <c r="WKY1" s="383"/>
      <c r="WKZ1" s="383"/>
      <c r="WLA1" s="383"/>
      <c r="WLB1" s="383"/>
      <c r="WLC1" s="383"/>
      <c r="WLD1" s="383"/>
      <c r="WLE1" s="383"/>
      <c r="WLF1" s="383"/>
      <c r="WLG1" s="383"/>
      <c r="WLH1" s="383"/>
      <c r="WLI1" s="383"/>
      <c r="WLJ1" s="383"/>
      <c r="WLK1" s="383"/>
      <c r="WLL1" s="383"/>
      <c r="WLM1" s="383"/>
      <c r="WLN1" s="383"/>
      <c r="WLO1" s="383"/>
      <c r="WLP1" s="383"/>
      <c r="WLQ1" s="383"/>
      <c r="WLR1" s="383"/>
      <c r="WLS1" s="383"/>
      <c r="WLT1" s="383"/>
      <c r="WLU1" s="383"/>
      <c r="WLV1" s="383"/>
      <c r="WLW1" s="383"/>
      <c r="WLX1" s="383"/>
      <c r="WLY1" s="383"/>
      <c r="WLZ1" s="383"/>
      <c r="WMA1" s="383"/>
      <c r="WMB1" s="383"/>
      <c r="WMC1" s="383"/>
      <c r="WMD1" s="383"/>
      <c r="WME1" s="383"/>
      <c r="WMF1" s="383"/>
      <c r="WMG1" s="383"/>
      <c r="WMH1" s="383"/>
      <c r="WMI1" s="383"/>
      <c r="WMJ1" s="383"/>
      <c r="WMK1" s="383"/>
      <c r="WML1" s="383"/>
      <c r="WMM1" s="383"/>
      <c r="WMN1" s="383"/>
      <c r="WMO1" s="383"/>
      <c r="WMP1" s="383"/>
      <c r="WMQ1" s="383"/>
      <c r="WMR1" s="383"/>
      <c r="WMS1" s="383"/>
      <c r="WMT1" s="383"/>
      <c r="WMU1" s="383"/>
      <c r="WMV1" s="383"/>
      <c r="WMW1" s="383"/>
      <c r="WMX1" s="383"/>
      <c r="WMY1" s="383"/>
      <c r="WMZ1" s="383"/>
      <c r="WNA1" s="383"/>
      <c r="WNB1" s="383"/>
      <c r="WNC1" s="383"/>
      <c r="WND1" s="383"/>
      <c r="WNE1" s="383"/>
      <c r="WNF1" s="383"/>
      <c r="WNG1" s="383"/>
      <c r="WNH1" s="383"/>
      <c r="WNI1" s="383"/>
      <c r="WNJ1" s="383"/>
      <c r="WNK1" s="383"/>
      <c r="WNL1" s="383"/>
      <c r="WNM1" s="383"/>
      <c r="WNN1" s="383"/>
      <c r="WNO1" s="383"/>
      <c r="WNP1" s="383"/>
      <c r="WNQ1" s="383"/>
      <c r="WNR1" s="383"/>
      <c r="WNS1" s="383"/>
      <c r="WNT1" s="383"/>
      <c r="WNU1" s="383"/>
      <c r="WNV1" s="383"/>
      <c r="WNW1" s="383"/>
      <c r="WNX1" s="383"/>
      <c r="WNY1" s="383"/>
      <c r="WNZ1" s="383"/>
      <c r="WOA1" s="383"/>
      <c r="WOB1" s="383"/>
      <c r="WOC1" s="383"/>
      <c r="WOD1" s="383"/>
      <c r="WOE1" s="383"/>
      <c r="WOF1" s="383"/>
      <c r="WOG1" s="383"/>
      <c r="WOH1" s="383"/>
      <c r="WOI1" s="383"/>
      <c r="WOJ1" s="383"/>
      <c r="WOK1" s="383"/>
      <c r="WOL1" s="383"/>
      <c r="WOM1" s="383"/>
      <c r="WON1" s="383"/>
      <c r="WOO1" s="383"/>
      <c r="WOP1" s="383"/>
      <c r="WOQ1" s="383"/>
      <c r="WOR1" s="383"/>
      <c r="WOS1" s="383"/>
      <c r="WOT1" s="383"/>
      <c r="WOU1" s="383"/>
      <c r="WOV1" s="383"/>
      <c r="WOW1" s="383"/>
      <c r="WOX1" s="383"/>
      <c r="WOY1" s="383"/>
      <c r="WOZ1" s="383"/>
      <c r="WPA1" s="383"/>
      <c r="WPB1" s="383"/>
      <c r="WPC1" s="383"/>
      <c r="WPD1" s="383"/>
      <c r="WPE1" s="383"/>
      <c r="WPF1" s="383"/>
      <c r="WPG1" s="383"/>
      <c r="WPH1" s="383"/>
      <c r="WPI1" s="383"/>
      <c r="WPJ1" s="383"/>
      <c r="WPK1" s="383"/>
      <c r="WPL1" s="383"/>
      <c r="WPM1" s="383"/>
      <c r="WPN1" s="383"/>
      <c r="WPO1" s="383"/>
      <c r="WPP1" s="383"/>
      <c r="WPQ1" s="383"/>
      <c r="WPR1" s="383"/>
      <c r="WPS1" s="383"/>
      <c r="WPT1" s="383"/>
      <c r="WPU1" s="383"/>
      <c r="WPV1" s="383"/>
      <c r="WPW1" s="383"/>
      <c r="WPX1" s="383"/>
      <c r="WPY1" s="383"/>
      <c r="WPZ1" s="383"/>
      <c r="WQA1" s="383"/>
      <c r="WQB1" s="383"/>
      <c r="WQC1" s="383"/>
      <c r="WQD1" s="383"/>
      <c r="WQE1" s="383"/>
      <c r="WQF1" s="383"/>
      <c r="WQG1" s="383"/>
      <c r="WQH1" s="383"/>
      <c r="WQI1" s="383"/>
      <c r="WQJ1" s="383"/>
      <c r="WQK1" s="383"/>
      <c r="WQL1" s="383"/>
      <c r="WQM1" s="383"/>
      <c r="WQN1" s="383"/>
      <c r="WQO1" s="383"/>
      <c r="WQP1" s="383"/>
      <c r="WQQ1" s="383"/>
      <c r="WQR1" s="383"/>
      <c r="WQS1" s="383"/>
      <c r="WQT1" s="383"/>
      <c r="WQU1" s="383"/>
      <c r="WQV1" s="383"/>
      <c r="WQW1" s="383"/>
      <c r="WQX1" s="383"/>
      <c r="WQY1" s="383"/>
      <c r="WQZ1" s="383"/>
      <c r="WRA1" s="383"/>
      <c r="WRB1" s="383"/>
      <c r="WRC1" s="383"/>
      <c r="WRD1" s="383"/>
      <c r="WRE1" s="383"/>
      <c r="WRF1" s="383"/>
      <c r="WRG1" s="383"/>
      <c r="WRH1" s="383"/>
      <c r="WRI1" s="383"/>
      <c r="WRJ1" s="383"/>
      <c r="WRK1" s="383"/>
      <c r="WRL1" s="383"/>
      <c r="WRM1" s="383"/>
      <c r="WRN1" s="383"/>
      <c r="WRO1" s="383"/>
      <c r="WRP1" s="383"/>
      <c r="WRQ1" s="383"/>
      <c r="WRR1" s="383"/>
      <c r="WRS1" s="383"/>
      <c r="WRT1" s="383"/>
      <c r="WRU1" s="383"/>
      <c r="WRV1" s="383"/>
      <c r="WRW1" s="383"/>
      <c r="WRX1" s="383"/>
      <c r="WRY1" s="383"/>
      <c r="WRZ1" s="383"/>
      <c r="WSA1" s="383"/>
      <c r="WSB1" s="383"/>
      <c r="WSC1" s="383"/>
      <c r="WSD1" s="383"/>
      <c r="WSE1" s="383"/>
      <c r="WSF1" s="383"/>
      <c r="WSG1" s="383"/>
      <c r="WSH1" s="383"/>
      <c r="WSI1" s="383"/>
      <c r="WSJ1" s="383"/>
      <c r="WSK1" s="383"/>
      <c r="WSL1" s="383"/>
      <c r="WSM1" s="383"/>
      <c r="WSN1" s="383"/>
      <c r="WSO1" s="383"/>
      <c r="WSP1" s="383"/>
      <c r="WSQ1" s="383"/>
      <c r="WSR1" s="383"/>
      <c r="WSS1" s="383"/>
      <c r="WST1" s="383"/>
      <c r="WSU1" s="383"/>
      <c r="WSV1" s="383"/>
      <c r="WSW1" s="383"/>
      <c r="WSX1" s="383"/>
      <c r="WSY1" s="383"/>
      <c r="WSZ1" s="383"/>
      <c r="WTA1" s="383"/>
      <c r="WTB1" s="383"/>
      <c r="WTC1" s="383"/>
      <c r="WTD1" s="383"/>
      <c r="WTE1" s="383"/>
      <c r="WTF1" s="383"/>
      <c r="WTG1" s="383"/>
      <c r="WTH1" s="383"/>
      <c r="WTI1" s="383"/>
      <c r="WTJ1" s="383"/>
      <c r="WTK1" s="383"/>
      <c r="WTL1" s="383"/>
      <c r="WTM1" s="383"/>
      <c r="WTN1" s="383"/>
      <c r="WTO1" s="383"/>
      <c r="WTP1" s="383"/>
      <c r="WTQ1" s="383"/>
      <c r="WTR1" s="383"/>
      <c r="WTS1" s="383"/>
      <c r="WTT1" s="383"/>
      <c r="WTU1" s="383"/>
      <c r="WTV1" s="383"/>
      <c r="WTW1" s="383"/>
      <c r="WTX1" s="383"/>
      <c r="WTY1" s="383"/>
      <c r="WTZ1" s="383"/>
      <c r="WUA1" s="383"/>
      <c r="WUB1" s="383"/>
      <c r="WUC1" s="383"/>
      <c r="WUD1" s="383"/>
      <c r="WUE1" s="383"/>
      <c r="WUF1" s="383"/>
      <c r="WUG1" s="383"/>
      <c r="WUH1" s="383"/>
      <c r="WUI1" s="383"/>
      <c r="WUJ1" s="383"/>
      <c r="WUK1" s="383"/>
      <c r="WUL1" s="383"/>
      <c r="WUM1" s="383"/>
      <c r="WUN1" s="383"/>
      <c r="WUO1" s="383"/>
      <c r="WUP1" s="383"/>
      <c r="WUQ1" s="383"/>
      <c r="WUR1" s="383"/>
      <c r="WUS1" s="383"/>
      <c r="WUT1" s="383"/>
      <c r="WUU1" s="383"/>
      <c r="WUV1" s="383"/>
      <c r="WUW1" s="383"/>
      <c r="WUX1" s="383"/>
      <c r="WUY1" s="383"/>
      <c r="WUZ1" s="383"/>
      <c r="WVA1" s="383"/>
      <c r="WVB1" s="383"/>
      <c r="WVC1" s="383"/>
      <c r="WVD1" s="383"/>
      <c r="WVE1" s="383"/>
      <c r="WVF1" s="383"/>
      <c r="WVG1" s="383"/>
      <c r="WVH1" s="383"/>
      <c r="WVI1" s="383"/>
      <c r="WVJ1" s="383"/>
      <c r="WVK1" s="383"/>
      <c r="WVL1" s="383"/>
      <c r="WVM1" s="383"/>
      <c r="WVN1" s="383"/>
      <c r="WVO1" s="383"/>
      <c r="WVP1" s="383"/>
      <c r="WVQ1" s="383"/>
      <c r="WVR1" s="383"/>
      <c r="WVS1" s="383"/>
      <c r="WVT1" s="383"/>
      <c r="WVU1" s="383"/>
      <c r="WVV1" s="383"/>
      <c r="WVW1" s="383"/>
      <c r="WVX1" s="383"/>
      <c r="WVY1" s="383"/>
      <c r="WVZ1" s="383"/>
      <c r="WWA1" s="383"/>
      <c r="WWB1" s="383"/>
      <c r="WWC1" s="383"/>
      <c r="WWD1" s="383"/>
      <c r="WWE1" s="383"/>
      <c r="WWF1" s="383"/>
      <c r="WWG1" s="383"/>
      <c r="WWH1" s="383"/>
      <c r="WWI1" s="383"/>
      <c r="WWJ1" s="383"/>
      <c r="WWK1" s="383"/>
      <c r="WWL1" s="383"/>
      <c r="WWM1" s="383"/>
      <c r="WWN1" s="383"/>
      <c r="WWO1" s="383"/>
      <c r="WWP1" s="383"/>
      <c r="WWQ1" s="383"/>
      <c r="WWR1" s="383"/>
      <c r="WWS1" s="383"/>
      <c r="WWT1" s="383"/>
      <c r="WWU1" s="383"/>
      <c r="WWV1" s="383"/>
      <c r="WWW1" s="383"/>
      <c r="WWX1" s="383"/>
      <c r="WWY1" s="383"/>
      <c r="WWZ1" s="383"/>
      <c r="WXA1" s="383"/>
      <c r="WXB1" s="383"/>
      <c r="WXC1" s="383"/>
      <c r="WXD1" s="383"/>
      <c r="WXE1" s="383"/>
      <c r="WXF1" s="383"/>
      <c r="WXG1" s="383"/>
      <c r="WXH1" s="383"/>
      <c r="WXI1" s="383"/>
      <c r="WXJ1" s="383"/>
      <c r="WXK1" s="383"/>
      <c r="WXL1" s="383"/>
      <c r="WXM1" s="383"/>
      <c r="WXN1" s="383"/>
      <c r="WXO1" s="383"/>
      <c r="WXP1" s="383"/>
      <c r="WXQ1" s="383"/>
      <c r="WXR1" s="383"/>
      <c r="WXS1" s="383"/>
      <c r="WXT1" s="383"/>
      <c r="WXU1" s="383"/>
      <c r="WXV1" s="383"/>
      <c r="WXW1" s="383"/>
      <c r="WXX1" s="383"/>
      <c r="WXY1" s="383"/>
      <c r="WXZ1" s="383"/>
      <c r="WYA1" s="383"/>
      <c r="WYB1" s="383"/>
      <c r="WYC1" s="383"/>
      <c r="WYD1" s="383"/>
      <c r="WYE1" s="383"/>
      <c r="WYF1" s="383"/>
      <c r="WYG1" s="383"/>
      <c r="WYH1" s="383"/>
      <c r="WYI1" s="383"/>
      <c r="WYJ1" s="383"/>
      <c r="WYK1" s="383"/>
      <c r="WYL1" s="383"/>
      <c r="WYM1" s="383"/>
      <c r="WYN1" s="383"/>
      <c r="WYO1" s="383"/>
      <c r="WYP1" s="383"/>
      <c r="WYQ1" s="383"/>
      <c r="WYR1" s="383"/>
      <c r="WYS1" s="383"/>
      <c r="WYT1" s="383"/>
      <c r="WYU1" s="383"/>
      <c r="WYV1" s="383"/>
      <c r="WYW1" s="383"/>
      <c r="WYX1" s="383"/>
      <c r="WYY1" s="383"/>
      <c r="WYZ1" s="383"/>
      <c r="WZA1" s="383"/>
      <c r="WZB1" s="383"/>
      <c r="WZC1" s="383"/>
      <c r="WZD1" s="383"/>
      <c r="WZE1" s="383"/>
      <c r="WZF1" s="383"/>
      <c r="WZG1" s="383"/>
      <c r="WZH1" s="383"/>
      <c r="WZI1" s="383"/>
      <c r="WZJ1" s="383"/>
      <c r="WZK1" s="383"/>
      <c r="WZL1" s="383"/>
      <c r="WZM1" s="383"/>
      <c r="WZN1" s="383"/>
      <c r="WZO1" s="383"/>
      <c r="WZP1" s="383"/>
      <c r="WZQ1" s="383"/>
      <c r="WZR1" s="383"/>
      <c r="WZS1" s="383"/>
      <c r="WZT1" s="383"/>
      <c r="WZU1" s="383"/>
      <c r="WZV1" s="383"/>
      <c r="WZW1" s="383"/>
      <c r="WZX1" s="383"/>
      <c r="WZY1" s="383"/>
      <c r="WZZ1" s="383"/>
      <c r="XAA1" s="383"/>
      <c r="XAB1" s="383"/>
      <c r="XAC1" s="383"/>
      <c r="XAD1" s="383"/>
      <c r="XAE1" s="383"/>
      <c r="XAF1" s="383"/>
      <c r="XAG1" s="383"/>
      <c r="XAH1" s="383"/>
      <c r="XAI1" s="383"/>
      <c r="XAJ1" s="383"/>
      <c r="XAK1" s="383"/>
      <c r="XAL1" s="383"/>
      <c r="XAM1" s="383"/>
      <c r="XAN1" s="383"/>
      <c r="XAO1" s="383"/>
      <c r="XAP1" s="383"/>
      <c r="XAQ1" s="383"/>
      <c r="XAR1" s="383"/>
      <c r="XAS1" s="383"/>
      <c r="XAT1" s="383"/>
      <c r="XAU1" s="383"/>
      <c r="XAV1" s="383"/>
      <c r="XAW1" s="383"/>
      <c r="XAX1" s="383"/>
      <c r="XAY1" s="383"/>
      <c r="XAZ1" s="383"/>
      <c r="XBA1" s="383"/>
      <c r="XBB1" s="383"/>
      <c r="XBC1" s="383"/>
      <c r="XBD1" s="383"/>
      <c r="XBE1" s="383"/>
      <c r="XBF1" s="383"/>
      <c r="XBG1" s="383"/>
      <c r="XBH1" s="383"/>
      <c r="XBI1" s="383"/>
      <c r="XBJ1" s="383"/>
      <c r="XBK1" s="383"/>
      <c r="XBL1" s="383"/>
      <c r="XBM1" s="383"/>
      <c r="XBN1" s="383"/>
      <c r="XBO1" s="383"/>
      <c r="XBP1" s="383"/>
      <c r="XBQ1" s="383"/>
      <c r="XBR1" s="383"/>
      <c r="XBS1" s="383"/>
      <c r="XBT1" s="383"/>
      <c r="XBU1" s="383"/>
      <c r="XBV1" s="383"/>
      <c r="XBW1" s="383"/>
      <c r="XBX1" s="383"/>
      <c r="XBY1" s="383"/>
      <c r="XBZ1" s="383"/>
      <c r="XCA1" s="383"/>
      <c r="XCB1" s="383"/>
      <c r="XCC1" s="383"/>
      <c r="XCD1" s="383"/>
      <c r="XCE1" s="383"/>
      <c r="XCF1" s="383"/>
      <c r="XCG1" s="383"/>
      <c r="XCH1" s="383"/>
      <c r="XCI1" s="383"/>
      <c r="XCJ1" s="383"/>
      <c r="XCK1" s="383"/>
      <c r="XCL1" s="383"/>
      <c r="XCM1" s="383"/>
      <c r="XCN1" s="383"/>
      <c r="XCO1" s="383"/>
      <c r="XCP1" s="383"/>
      <c r="XCQ1" s="383"/>
      <c r="XCR1" s="383"/>
      <c r="XCS1" s="383"/>
      <c r="XCT1" s="383"/>
      <c r="XCU1" s="383"/>
      <c r="XCV1" s="383"/>
      <c r="XCW1" s="383"/>
      <c r="XCX1" s="383"/>
      <c r="XCY1" s="383"/>
      <c r="XCZ1" s="383"/>
      <c r="XDA1" s="383"/>
      <c r="XDB1" s="383"/>
      <c r="XDC1" s="383"/>
      <c r="XDD1" s="383"/>
      <c r="XDE1" s="383"/>
      <c r="XDF1" s="383"/>
      <c r="XDG1" s="383"/>
      <c r="XDH1" s="383"/>
      <c r="XDI1" s="383"/>
      <c r="XDJ1" s="383"/>
      <c r="XDK1" s="383"/>
      <c r="XDL1" s="383"/>
      <c r="XDM1" s="383"/>
      <c r="XDN1" s="383"/>
      <c r="XDO1" s="383"/>
      <c r="XDP1" s="383"/>
      <c r="XDQ1" s="383"/>
      <c r="XDR1" s="383"/>
      <c r="XDS1" s="383"/>
      <c r="XDT1" s="383"/>
      <c r="XDU1" s="383"/>
      <c r="XDV1" s="383"/>
      <c r="XDW1" s="383"/>
      <c r="XDX1" s="383"/>
      <c r="XDY1" s="383"/>
      <c r="XDZ1" s="383"/>
      <c r="XEA1" s="383"/>
      <c r="XEB1" s="383"/>
      <c r="XEC1" s="383"/>
      <c r="XED1" s="383"/>
      <c r="XEE1" s="383"/>
      <c r="XEF1" s="383"/>
      <c r="XEG1" s="383"/>
      <c r="XEH1" s="383"/>
      <c r="XEI1" s="383"/>
      <c r="XEJ1" s="383"/>
      <c r="XEK1" s="383"/>
      <c r="XEL1" s="383"/>
      <c r="XEM1" s="383"/>
      <c r="XEN1" s="383"/>
      <c r="XEO1" s="383"/>
      <c r="XEP1" s="383"/>
      <c r="XEQ1" s="383"/>
      <c r="XER1" s="383"/>
      <c r="XES1" s="383"/>
      <c r="XET1" s="383"/>
      <c r="XEU1" s="383"/>
      <c r="XEV1" s="383"/>
      <c r="XEW1" s="383"/>
      <c r="XEX1" s="383"/>
      <c r="XEY1" s="383"/>
      <c r="XEZ1" s="383"/>
    </row>
    <row r="2" spans="1:16380" customFormat="1" ht="20">
      <c r="A2" s="295" t="str">
        <f>Licensee</f>
        <v>NGGT (TO)</v>
      </c>
      <c r="B2" s="298"/>
      <c r="C2" s="298"/>
      <c r="D2" s="15"/>
      <c r="E2" s="15"/>
      <c r="F2" s="15"/>
      <c r="G2" s="15"/>
      <c r="H2" s="15"/>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c r="BHB2" s="14"/>
      <c r="BHC2" s="14"/>
      <c r="BHD2" s="14"/>
      <c r="BHE2" s="14"/>
      <c r="BHF2" s="14"/>
      <c r="BHG2" s="14"/>
      <c r="BHH2" s="14"/>
      <c r="BHI2" s="14"/>
      <c r="BHJ2" s="14"/>
      <c r="BHK2" s="14"/>
      <c r="BHL2" s="14"/>
      <c r="BHM2" s="14"/>
      <c r="BHN2" s="14"/>
      <c r="BHO2" s="14"/>
      <c r="BHP2" s="14"/>
      <c r="BHQ2" s="14"/>
      <c r="BHR2" s="14"/>
      <c r="BHS2" s="14"/>
      <c r="BHT2" s="14"/>
      <c r="BHU2" s="14"/>
      <c r="BHV2" s="14"/>
      <c r="BHW2" s="14"/>
      <c r="BHX2" s="14"/>
      <c r="BHY2" s="14"/>
      <c r="BHZ2" s="14"/>
      <c r="BIA2" s="14"/>
      <c r="BIB2" s="14"/>
      <c r="BIC2" s="14"/>
      <c r="BID2" s="14"/>
      <c r="BIE2" s="14"/>
      <c r="BIF2" s="14"/>
      <c r="BIG2" s="14"/>
      <c r="BIH2" s="14"/>
      <c r="BII2" s="14"/>
      <c r="BIJ2" s="14"/>
      <c r="BIK2" s="14"/>
      <c r="BIL2" s="14"/>
      <c r="BIM2" s="14"/>
      <c r="BIN2" s="14"/>
      <c r="BIO2" s="14"/>
      <c r="BIP2" s="14"/>
      <c r="BIQ2" s="14"/>
      <c r="BIR2" s="14"/>
      <c r="BIS2" s="14"/>
      <c r="BIT2" s="14"/>
      <c r="BIU2" s="14"/>
      <c r="BIV2" s="14"/>
      <c r="BIW2" s="14"/>
      <c r="BIX2" s="14"/>
      <c r="BIY2" s="14"/>
      <c r="BIZ2" s="14"/>
      <c r="BJA2" s="14"/>
      <c r="BJB2" s="14"/>
      <c r="BJC2" s="14"/>
      <c r="BJD2" s="14"/>
      <c r="BJE2" s="14"/>
      <c r="BJF2" s="14"/>
      <c r="BJG2" s="14"/>
      <c r="BJH2" s="14"/>
      <c r="BJI2" s="14"/>
      <c r="BJJ2" s="14"/>
      <c r="BJK2" s="14"/>
      <c r="BJL2" s="14"/>
      <c r="BJM2" s="14"/>
      <c r="BJN2" s="14"/>
      <c r="BJO2" s="14"/>
      <c r="BJP2" s="14"/>
      <c r="BJQ2" s="14"/>
      <c r="BJR2" s="14"/>
      <c r="BJS2" s="14"/>
      <c r="BJT2" s="14"/>
      <c r="BJU2" s="14"/>
      <c r="BJV2" s="14"/>
      <c r="BJW2" s="14"/>
      <c r="BJX2" s="14"/>
      <c r="BJY2" s="14"/>
      <c r="BJZ2" s="14"/>
      <c r="BKA2" s="14"/>
      <c r="BKB2" s="14"/>
      <c r="BKC2" s="14"/>
      <c r="BKD2" s="14"/>
      <c r="BKE2" s="14"/>
      <c r="BKF2" s="14"/>
      <c r="BKG2" s="14"/>
      <c r="BKH2" s="14"/>
      <c r="BKI2" s="14"/>
      <c r="BKJ2" s="14"/>
      <c r="BKK2" s="14"/>
      <c r="BKL2" s="14"/>
      <c r="BKM2" s="14"/>
      <c r="BKN2" s="14"/>
      <c r="BKO2" s="14"/>
      <c r="BKP2" s="14"/>
      <c r="BKQ2" s="14"/>
      <c r="BKR2" s="14"/>
      <c r="BKS2" s="14"/>
      <c r="BKT2" s="14"/>
      <c r="BKU2" s="14"/>
      <c r="BKV2" s="14"/>
      <c r="BKW2" s="14"/>
      <c r="BKX2" s="14"/>
      <c r="BKY2" s="14"/>
      <c r="BKZ2" s="14"/>
      <c r="BLA2" s="14"/>
      <c r="BLB2" s="14"/>
      <c r="BLC2" s="14"/>
      <c r="BLD2" s="14"/>
      <c r="BLE2" s="14"/>
      <c r="BLF2" s="14"/>
      <c r="BLG2" s="14"/>
      <c r="BLH2" s="14"/>
      <c r="BLI2" s="14"/>
      <c r="BLJ2" s="14"/>
      <c r="BLK2" s="14"/>
      <c r="BLL2" s="14"/>
      <c r="BLM2" s="14"/>
      <c r="BLN2" s="14"/>
      <c r="BLO2" s="14"/>
      <c r="BLP2" s="14"/>
      <c r="BLQ2" s="14"/>
      <c r="BLR2" s="14"/>
      <c r="BLS2" s="14"/>
      <c r="BLT2" s="14"/>
      <c r="BLU2" s="14"/>
      <c r="BLV2" s="14"/>
      <c r="BLW2" s="14"/>
      <c r="BLX2" s="14"/>
      <c r="BLY2" s="14"/>
      <c r="BLZ2" s="14"/>
      <c r="BMA2" s="14"/>
      <c r="BMB2" s="14"/>
      <c r="BMC2" s="14"/>
      <c r="BMD2" s="14"/>
      <c r="BME2" s="14"/>
      <c r="BMF2" s="14"/>
      <c r="BMG2" s="14"/>
      <c r="BMH2" s="14"/>
      <c r="BMI2" s="14"/>
      <c r="BMJ2" s="14"/>
      <c r="BMK2" s="14"/>
      <c r="BML2" s="14"/>
      <c r="BMM2" s="14"/>
      <c r="BMN2" s="14"/>
      <c r="BMO2" s="14"/>
      <c r="BMP2" s="14"/>
      <c r="BMQ2" s="14"/>
      <c r="BMR2" s="14"/>
      <c r="BMS2" s="14"/>
      <c r="BMT2" s="14"/>
      <c r="BMU2" s="14"/>
      <c r="BMV2" s="14"/>
      <c r="BMW2" s="14"/>
      <c r="BMX2" s="14"/>
      <c r="BMY2" s="14"/>
      <c r="BMZ2" s="14"/>
      <c r="BNA2" s="14"/>
      <c r="BNB2" s="14"/>
      <c r="BNC2" s="14"/>
      <c r="BND2" s="14"/>
      <c r="BNE2" s="14"/>
      <c r="BNF2" s="14"/>
      <c r="BNG2" s="14"/>
      <c r="BNH2" s="14"/>
      <c r="BNI2" s="14"/>
      <c r="BNJ2" s="14"/>
      <c r="BNK2" s="14"/>
      <c r="BNL2" s="14"/>
      <c r="BNM2" s="14"/>
      <c r="BNN2" s="14"/>
      <c r="BNO2" s="14"/>
      <c r="BNP2" s="14"/>
      <c r="BNQ2" s="14"/>
      <c r="BNR2" s="14"/>
      <c r="BNS2" s="14"/>
      <c r="BNT2" s="14"/>
      <c r="BNU2" s="14"/>
      <c r="BNV2" s="14"/>
      <c r="BNW2" s="14"/>
      <c r="BNX2" s="14"/>
      <c r="BNY2" s="14"/>
      <c r="BNZ2" s="14"/>
      <c r="BOA2" s="14"/>
      <c r="BOB2" s="14"/>
      <c r="BOC2" s="14"/>
      <c r="BOD2" s="14"/>
      <c r="BOE2" s="14"/>
      <c r="BOF2" s="14"/>
      <c r="BOG2" s="14"/>
      <c r="BOH2" s="14"/>
      <c r="BOI2" s="14"/>
      <c r="BOJ2" s="14"/>
      <c r="BOK2" s="14"/>
      <c r="BOL2" s="14"/>
      <c r="BOM2" s="14"/>
      <c r="BON2" s="14"/>
      <c r="BOO2" s="14"/>
      <c r="BOP2" s="14"/>
      <c r="BOQ2" s="14"/>
      <c r="BOR2" s="14"/>
      <c r="BOS2" s="14"/>
      <c r="BOT2" s="14"/>
      <c r="BOU2" s="14"/>
      <c r="BOV2" s="14"/>
      <c r="BOW2" s="14"/>
      <c r="BOX2" s="14"/>
      <c r="BOY2" s="14"/>
      <c r="BOZ2" s="14"/>
      <c r="BPA2" s="14"/>
      <c r="BPB2" s="14"/>
      <c r="BPC2" s="14"/>
      <c r="BPD2" s="14"/>
      <c r="BPE2" s="14"/>
      <c r="BPF2" s="14"/>
      <c r="BPG2" s="14"/>
      <c r="BPH2" s="14"/>
      <c r="BPI2" s="14"/>
      <c r="BPJ2" s="14"/>
      <c r="BPK2" s="14"/>
      <c r="BPL2" s="14"/>
      <c r="BPM2" s="14"/>
      <c r="BPN2" s="14"/>
      <c r="BPO2" s="14"/>
      <c r="BPP2" s="14"/>
      <c r="BPQ2" s="14"/>
      <c r="BPR2" s="14"/>
      <c r="BPS2" s="14"/>
      <c r="BPT2" s="14"/>
      <c r="BPU2" s="14"/>
      <c r="BPV2" s="14"/>
      <c r="BPW2" s="14"/>
      <c r="BPX2" s="14"/>
      <c r="BPY2" s="14"/>
      <c r="BPZ2" s="14"/>
      <c r="BQA2" s="14"/>
      <c r="BQB2" s="14"/>
      <c r="BQC2" s="14"/>
      <c r="BQD2" s="14"/>
      <c r="BQE2" s="14"/>
      <c r="BQF2" s="14"/>
      <c r="BQG2" s="14"/>
      <c r="BQH2" s="14"/>
      <c r="BQI2" s="14"/>
      <c r="BQJ2" s="14"/>
      <c r="BQK2" s="14"/>
      <c r="BQL2" s="14"/>
      <c r="BQM2" s="14"/>
      <c r="BQN2" s="14"/>
      <c r="BQO2" s="14"/>
      <c r="BQP2" s="14"/>
      <c r="BQQ2" s="14"/>
      <c r="BQR2" s="14"/>
      <c r="BQS2" s="14"/>
      <c r="BQT2" s="14"/>
      <c r="BQU2" s="14"/>
      <c r="BQV2" s="14"/>
      <c r="BQW2" s="14"/>
      <c r="BQX2" s="14"/>
      <c r="BQY2" s="14"/>
      <c r="BQZ2" s="14"/>
      <c r="BRA2" s="14"/>
      <c r="BRB2" s="14"/>
      <c r="BRC2" s="14"/>
      <c r="BRD2" s="14"/>
      <c r="BRE2" s="14"/>
      <c r="BRF2" s="14"/>
      <c r="BRG2" s="14"/>
      <c r="BRH2" s="14"/>
      <c r="BRI2" s="14"/>
      <c r="BRJ2" s="14"/>
      <c r="BRK2" s="14"/>
      <c r="BRL2" s="14"/>
      <c r="BRM2" s="14"/>
      <c r="BRN2" s="14"/>
      <c r="BRO2" s="14"/>
      <c r="BRP2" s="14"/>
      <c r="BRQ2" s="14"/>
      <c r="BRR2" s="14"/>
      <c r="BRS2" s="14"/>
      <c r="BRT2" s="14"/>
      <c r="BRU2" s="14"/>
      <c r="BRV2" s="14"/>
      <c r="BRW2" s="14"/>
      <c r="BRX2" s="14"/>
      <c r="BRY2" s="14"/>
      <c r="BRZ2" s="14"/>
      <c r="BSA2" s="14"/>
      <c r="BSB2" s="14"/>
      <c r="BSC2" s="14"/>
      <c r="BSD2" s="14"/>
      <c r="BSE2" s="14"/>
      <c r="BSF2" s="14"/>
      <c r="BSG2" s="14"/>
      <c r="BSH2" s="14"/>
      <c r="BSI2" s="14"/>
      <c r="BSJ2" s="14"/>
      <c r="BSK2" s="14"/>
      <c r="BSL2" s="14"/>
      <c r="BSM2" s="14"/>
      <c r="BSN2" s="14"/>
      <c r="BSO2" s="14"/>
      <c r="BSP2" s="14"/>
      <c r="BSQ2" s="14"/>
      <c r="BSR2" s="14"/>
      <c r="BSS2" s="14"/>
      <c r="BST2" s="14"/>
      <c r="BSU2" s="14"/>
      <c r="BSV2" s="14"/>
      <c r="BSW2" s="14"/>
      <c r="BSX2" s="14"/>
      <c r="BSY2" s="14"/>
      <c r="BSZ2" s="14"/>
      <c r="BTA2" s="14"/>
      <c r="BTB2" s="14"/>
      <c r="BTC2" s="14"/>
      <c r="BTD2" s="14"/>
      <c r="BTE2" s="14"/>
      <c r="BTF2" s="14"/>
      <c r="BTG2" s="14"/>
      <c r="BTH2" s="14"/>
      <c r="BTI2" s="14"/>
      <c r="BTJ2" s="14"/>
      <c r="BTK2" s="14"/>
      <c r="BTL2" s="14"/>
      <c r="BTM2" s="14"/>
      <c r="BTN2" s="14"/>
      <c r="BTO2" s="14"/>
      <c r="BTP2" s="14"/>
      <c r="BTQ2" s="14"/>
      <c r="BTR2" s="14"/>
      <c r="BTS2" s="14"/>
      <c r="BTT2" s="14"/>
      <c r="BTU2" s="14"/>
      <c r="BTV2" s="14"/>
      <c r="BTW2" s="14"/>
      <c r="BTX2" s="14"/>
      <c r="BTY2" s="14"/>
      <c r="BTZ2" s="14"/>
      <c r="BUA2" s="14"/>
      <c r="BUB2" s="14"/>
      <c r="BUC2" s="14"/>
      <c r="BUD2" s="14"/>
      <c r="BUE2" s="14"/>
      <c r="BUF2" s="14"/>
      <c r="BUG2" s="14"/>
      <c r="BUH2" s="14"/>
      <c r="BUI2" s="14"/>
      <c r="BUJ2" s="14"/>
      <c r="BUK2" s="14"/>
      <c r="BUL2" s="14"/>
      <c r="BUM2" s="14"/>
      <c r="BUN2" s="14"/>
      <c r="BUO2" s="14"/>
      <c r="BUP2" s="14"/>
      <c r="BUQ2" s="14"/>
      <c r="BUR2" s="14"/>
      <c r="BUS2" s="14"/>
      <c r="BUT2" s="14"/>
      <c r="BUU2" s="14"/>
      <c r="BUV2" s="14"/>
      <c r="BUW2" s="14"/>
      <c r="BUX2" s="14"/>
      <c r="BUY2" s="14"/>
      <c r="BUZ2" s="14"/>
      <c r="BVA2" s="14"/>
      <c r="BVB2" s="14"/>
      <c r="BVC2" s="14"/>
      <c r="BVD2" s="14"/>
      <c r="BVE2" s="14"/>
      <c r="BVF2" s="14"/>
      <c r="BVG2" s="14"/>
      <c r="BVH2" s="14"/>
      <c r="BVI2" s="14"/>
      <c r="BVJ2" s="14"/>
      <c r="BVK2" s="14"/>
      <c r="BVL2" s="14"/>
      <c r="BVM2" s="14"/>
      <c r="BVN2" s="14"/>
      <c r="BVO2" s="14"/>
      <c r="BVP2" s="14"/>
      <c r="BVQ2" s="14"/>
      <c r="BVR2" s="14"/>
      <c r="BVS2" s="14"/>
      <c r="BVT2" s="14"/>
      <c r="BVU2" s="14"/>
      <c r="BVV2" s="14"/>
      <c r="BVW2" s="14"/>
      <c r="BVX2" s="14"/>
      <c r="BVY2" s="14"/>
      <c r="BVZ2" s="14"/>
      <c r="BWA2" s="14"/>
      <c r="BWB2" s="14"/>
      <c r="BWC2" s="14"/>
      <c r="BWD2" s="14"/>
      <c r="BWE2" s="14"/>
      <c r="BWF2" s="14"/>
      <c r="BWG2" s="14"/>
      <c r="BWH2" s="14"/>
      <c r="BWI2" s="14"/>
      <c r="BWJ2" s="14"/>
      <c r="BWK2" s="14"/>
      <c r="BWL2" s="14"/>
      <c r="BWM2" s="14"/>
      <c r="BWN2" s="14"/>
      <c r="BWO2" s="14"/>
      <c r="BWP2" s="14"/>
      <c r="BWQ2" s="14"/>
      <c r="BWR2" s="14"/>
      <c r="BWS2" s="14"/>
      <c r="BWT2" s="14"/>
      <c r="BWU2" s="14"/>
      <c r="BWV2" s="14"/>
      <c r="BWW2" s="14"/>
      <c r="BWX2" s="14"/>
      <c r="BWY2" s="14"/>
      <c r="BWZ2" s="14"/>
      <c r="BXA2" s="14"/>
      <c r="BXB2" s="14"/>
      <c r="BXC2" s="14"/>
      <c r="BXD2" s="14"/>
      <c r="BXE2" s="14"/>
      <c r="BXF2" s="14"/>
      <c r="BXG2" s="14"/>
      <c r="BXH2" s="14"/>
      <c r="BXI2" s="14"/>
      <c r="BXJ2" s="14"/>
      <c r="BXK2" s="14"/>
      <c r="BXL2" s="14"/>
      <c r="BXM2" s="14"/>
      <c r="BXN2" s="14"/>
      <c r="BXO2" s="14"/>
      <c r="BXP2" s="14"/>
      <c r="BXQ2" s="14"/>
      <c r="BXR2" s="14"/>
      <c r="BXS2" s="14"/>
      <c r="BXT2" s="14"/>
      <c r="BXU2" s="14"/>
      <c r="BXV2" s="14"/>
      <c r="BXW2" s="14"/>
      <c r="BXX2" s="14"/>
      <c r="BXY2" s="14"/>
      <c r="BXZ2" s="14"/>
      <c r="BYA2" s="14"/>
      <c r="BYB2" s="14"/>
      <c r="BYC2" s="14"/>
      <c r="BYD2" s="14"/>
      <c r="BYE2" s="14"/>
      <c r="BYF2" s="14"/>
      <c r="BYG2" s="14"/>
      <c r="BYH2" s="14"/>
      <c r="BYI2" s="14"/>
      <c r="BYJ2" s="14"/>
      <c r="BYK2" s="14"/>
      <c r="BYL2" s="14"/>
      <c r="BYM2" s="14"/>
      <c r="BYN2" s="14"/>
      <c r="BYO2" s="14"/>
      <c r="BYP2" s="14"/>
      <c r="BYQ2" s="14"/>
      <c r="BYR2" s="14"/>
      <c r="BYS2" s="14"/>
      <c r="BYT2" s="14"/>
      <c r="BYU2" s="14"/>
      <c r="BYV2" s="14"/>
      <c r="BYW2" s="14"/>
      <c r="BYX2" s="14"/>
      <c r="BYY2" s="14"/>
      <c r="BYZ2" s="14"/>
      <c r="BZA2" s="14"/>
      <c r="BZB2" s="14"/>
      <c r="BZC2" s="14"/>
      <c r="BZD2" s="14"/>
      <c r="BZE2" s="14"/>
      <c r="BZF2" s="14"/>
      <c r="BZG2" s="14"/>
      <c r="BZH2" s="14"/>
      <c r="BZI2" s="14"/>
      <c r="BZJ2" s="14"/>
      <c r="BZK2" s="14"/>
      <c r="BZL2" s="14"/>
      <c r="BZM2" s="14"/>
      <c r="BZN2" s="14"/>
      <c r="BZO2" s="14"/>
      <c r="BZP2" s="14"/>
      <c r="BZQ2" s="14"/>
      <c r="BZR2" s="14"/>
      <c r="BZS2" s="14"/>
      <c r="BZT2" s="14"/>
      <c r="BZU2" s="14"/>
      <c r="BZV2" s="14"/>
      <c r="BZW2" s="14"/>
      <c r="BZX2" s="14"/>
      <c r="BZY2" s="14"/>
      <c r="BZZ2" s="14"/>
      <c r="CAA2" s="14"/>
      <c r="CAB2" s="14"/>
      <c r="CAC2" s="14"/>
      <c r="CAD2" s="14"/>
      <c r="CAE2" s="14"/>
      <c r="CAF2" s="14"/>
      <c r="CAG2" s="14"/>
      <c r="CAH2" s="14"/>
      <c r="CAI2" s="14"/>
      <c r="CAJ2" s="14"/>
      <c r="CAK2" s="14"/>
      <c r="CAL2" s="14"/>
      <c r="CAM2" s="14"/>
      <c r="CAN2" s="14"/>
      <c r="CAO2" s="14"/>
      <c r="CAP2" s="14"/>
      <c r="CAQ2" s="14"/>
      <c r="CAR2" s="14"/>
      <c r="CAS2" s="14"/>
      <c r="CAT2" s="14"/>
      <c r="CAU2" s="14"/>
      <c r="CAV2" s="14"/>
      <c r="CAW2" s="14"/>
      <c r="CAX2" s="14"/>
      <c r="CAY2" s="14"/>
      <c r="CAZ2" s="14"/>
      <c r="CBA2" s="14"/>
      <c r="CBB2" s="14"/>
      <c r="CBC2" s="14"/>
      <c r="CBD2" s="14"/>
      <c r="CBE2" s="14"/>
      <c r="CBF2" s="14"/>
      <c r="CBG2" s="14"/>
      <c r="CBH2" s="14"/>
      <c r="CBI2" s="14"/>
      <c r="CBJ2" s="14"/>
      <c r="CBK2" s="14"/>
      <c r="CBL2" s="14"/>
      <c r="CBM2" s="14"/>
      <c r="CBN2" s="14"/>
      <c r="CBO2" s="14"/>
      <c r="CBP2" s="14"/>
      <c r="CBQ2" s="14"/>
      <c r="CBR2" s="14"/>
      <c r="CBS2" s="14"/>
      <c r="CBT2" s="14"/>
      <c r="CBU2" s="14"/>
      <c r="CBV2" s="14"/>
      <c r="CBW2" s="14"/>
      <c r="CBX2" s="14"/>
      <c r="CBY2" s="14"/>
      <c r="CBZ2" s="14"/>
      <c r="CCA2" s="14"/>
      <c r="CCB2" s="14"/>
      <c r="CCC2" s="14"/>
      <c r="CCD2" s="14"/>
      <c r="CCE2" s="14"/>
      <c r="CCF2" s="14"/>
      <c r="CCG2" s="14"/>
      <c r="CCH2" s="14"/>
      <c r="CCI2" s="14"/>
      <c r="CCJ2" s="14"/>
      <c r="CCK2" s="14"/>
      <c r="CCL2" s="14"/>
      <c r="CCM2" s="14"/>
      <c r="CCN2" s="14"/>
      <c r="CCO2" s="14"/>
      <c r="CCP2" s="14"/>
      <c r="CCQ2" s="14"/>
      <c r="CCR2" s="14"/>
      <c r="CCS2" s="14"/>
      <c r="CCT2" s="14"/>
      <c r="CCU2" s="14"/>
      <c r="CCV2" s="14"/>
      <c r="CCW2" s="14"/>
      <c r="CCX2" s="14"/>
      <c r="CCY2" s="14"/>
      <c r="CCZ2" s="14"/>
      <c r="CDA2" s="14"/>
      <c r="CDB2" s="14"/>
      <c r="CDC2" s="14"/>
      <c r="CDD2" s="14"/>
      <c r="CDE2" s="14"/>
      <c r="CDF2" s="14"/>
      <c r="CDG2" s="14"/>
      <c r="CDH2" s="14"/>
      <c r="CDI2" s="14"/>
      <c r="CDJ2" s="14"/>
      <c r="CDK2" s="14"/>
      <c r="CDL2" s="14"/>
      <c r="CDM2" s="14"/>
      <c r="CDN2" s="14"/>
      <c r="CDO2" s="14"/>
      <c r="CDP2" s="14"/>
      <c r="CDQ2" s="14"/>
      <c r="CDR2" s="14"/>
      <c r="CDS2" s="14"/>
      <c r="CDT2" s="14"/>
      <c r="CDU2" s="14"/>
      <c r="CDV2" s="14"/>
      <c r="CDW2" s="14"/>
      <c r="CDX2" s="14"/>
      <c r="CDY2" s="14"/>
      <c r="CDZ2" s="14"/>
      <c r="CEA2" s="14"/>
      <c r="CEB2" s="14"/>
      <c r="CEC2" s="14"/>
      <c r="CED2" s="14"/>
      <c r="CEE2" s="14"/>
      <c r="CEF2" s="14"/>
      <c r="CEG2" s="14"/>
      <c r="CEH2" s="14"/>
      <c r="CEI2" s="14"/>
      <c r="CEJ2" s="14"/>
      <c r="CEK2" s="14"/>
      <c r="CEL2" s="14"/>
      <c r="CEM2" s="14"/>
      <c r="CEN2" s="14"/>
      <c r="CEO2" s="14"/>
      <c r="CEP2" s="14"/>
      <c r="CEQ2" s="14"/>
      <c r="CER2" s="14"/>
      <c r="CES2" s="14"/>
      <c r="CET2" s="14"/>
      <c r="CEU2" s="14"/>
      <c r="CEV2" s="14"/>
      <c r="CEW2" s="14"/>
      <c r="CEX2" s="14"/>
      <c r="CEY2" s="14"/>
      <c r="CEZ2" s="14"/>
      <c r="CFA2" s="14"/>
      <c r="CFB2" s="14"/>
      <c r="CFC2" s="14"/>
      <c r="CFD2" s="14"/>
      <c r="CFE2" s="14"/>
      <c r="CFF2" s="14"/>
      <c r="CFG2" s="14"/>
      <c r="CFH2" s="14"/>
      <c r="CFI2" s="14"/>
      <c r="CFJ2" s="14"/>
      <c r="CFK2" s="14"/>
      <c r="CFL2" s="14"/>
      <c r="CFM2" s="14"/>
      <c r="CFN2" s="14"/>
      <c r="CFO2" s="14"/>
      <c r="CFP2" s="14"/>
      <c r="CFQ2" s="14"/>
      <c r="CFR2" s="14"/>
      <c r="CFS2" s="14"/>
      <c r="CFT2" s="14"/>
      <c r="CFU2" s="14"/>
      <c r="CFV2" s="14"/>
      <c r="CFW2" s="14"/>
      <c r="CFX2" s="14"/>
      <c r="CFY2" s="14"/>
      <c r="CFZ2" s="14"/>
      <c r="CGA2" s="14"/>
      <c r="CGB2" s="14"/>
      <c r="CGC2" s="14"/>
      <c r="CGD2" s="14"/>
      <c r="CGE2" s="14"/>
      <c r="CGF2" s="14"/>
      <c r="CGG2" s="14"/>
      <c r="CGH2" s="14"/>
      <c r="CGI2" s="14"/>
      <c r="CGJ2" s="14"/>
      <c r="CGK2" s="14"/>
      <c r="CGL2" s="14"/>
      <c r="CGM2" s="14"/>
      <c r="CGN2" s="14"/>
      <c r="CGO2" s="14"/>
      <c r="CGP2" s="14"/>
      <c r="CGQ2" s="14"/>
      <c r="CGR2" s="14"/>
      <c r="CGS2" s="14"/>
      <c r="CGT2" s="14"/>
      <c r="CGU2" s="14"/>
      <c r="CGV2" s="14"/>
      <c r="CGW2" s="14"/>
      <c r="CGX2" s="14"/>
      <c r="CGY2" s="14"/>
      <c r="CGZ2" s="14"/>
      <c r="CHA2" s="14"/>
      <c r="CHB2" s="14"/>
      <c r="CHC2" s="14"/>
      <c r="CHD2" s="14"/>
      <c r="CHE2" s="14"/>
      <c r="CHF2" s="14"/>
      <c r="CHG2" s="14"/>
      <c r="CHH2" s="14"/>
      <c r="CHI2" s="14"/>
      <c r="CHJ2" s="14"/>
      <c r="CHK2" s="14"/>
      <c r="CHL2" s="14"/>
      <c r="CHM2" s="14"/>
      <c r="CHN2" s="14"/>
      <c r="CHO2" s="14"/>
      <c r="CHP2" s="14"/>
      <c r="CHQ2" s="14"/>
      <c r="CHR2" s="14"/>
      <c r="CHS2" s="14"/>
      <c r="CHT2" s="14"/>
      <c r="CHU2" s="14"/>
      <c r="CHV2" s="14"/>
      <c r="CHW2" s="14"/>
      <c r="CHX2" s="14"/>
      <c r="CHY2" s="14"/>
      <c r="CHZ2" s="14"/>
      <c r="CIA2" s="14"/>
      <c r="CIB2" s="14"/>
      <c r="CIC2" s="14"/>
      <c r="CID2" s="14"/>
      <c r="CIE2" s="14"/>
      <c r="CIF2" s="14"/>
      <c r="CIG2" s="14"/>
      <c r="CIH2" s="14"/>
      <c r="CII2" s="14"/>
      <c r="CIJ2" s="14"/>
      <c r="CIK2" s="14"/>
      <c r="CIL2" s="14"/>
      <c r="CIM2" s="14"/>
      <c r="CIN2" s="14"/>
      <c r="CIO2" s="14"/>
      <c r="CIP2" s="14"/>
      <c r="CIQ2" s="14"/>
      <c r="CIR2" s="14"/>
      <c r="CIS2" s="14"/>
      <c r="CIT2" s="14"/>
      <c r="CIU2" s="14"/>
      <c r="CIV2" s="14"/>
      <c r="CIW2" s="14"/>
      <c r="CIX2" s="14"/>
      <c r="CIY2" s="14"/>
      <c r="CIZ2" s="14"/>
      <c r="CJA2" s="14"/>
      <c r="CJB2" s="14"/>
      <c r="CJC2" s="14"/>
      <c r="CJD2" s="14"/>
      <c r="CJE2" s="14"/>
      <c r="CJF2" s="14"/>
      <c r="CJG2" s="14"/>
      <c r="CJH2" s="14"/>
      <c r="CJI2" s="14"/>
      <c r="CJJ2" s="14"/>
      <c r="CJK2" s="14"/>
      <c r="CJL2" s="14"/>
      <c r="CJM2" s="14"/>
      <c r="CJN2" s="14"/>
      <c r="CJO2" s="14"/>
      <c r="CJP2" s="14"/>
      <c r="CJQ2" s="14"/>
      <c r="CJR2" s="14"/>
      <c r="CJS2" s="14"/>
      <c r="CJT2" s="14"/>
      <c r="CJU2" s="14"/>
      <c r="CJV2" s="14"/>
      <c r="CJW2" s="14"/>
      <c r="CJX2" s="14"/>
      <c r="CJY2" s="14"/>
      <c r="CJZ2" s="14"/>
      <c r="CKA2" s="14"/>
      <c r="CKB2" s="14"/>
      <c r="CKC2" s="14"/>
      <c r="CKD2" s="14"/>
      <c r="CKE2" s="14"/>
      <c r="CKF2" s="14"/>
      <c r="CKG2" s="14"/>
      <c r="CKH2" s="14"/>
      <c r="CKI2" s="14"/>
      <c r="CKJ2" s="14"/>
      <c r="CKK2" s="14"/>
      <c r="CKL2" s="14"/>
      <c r="CKM2" s="14"/>
      <c r="CKN2" s="14"/>
      <c r="CKO2" s="14"/>
      <c r="CKP2" s="14"/>
      <c r="CKQ2" s="14"/>
      <c r="CKR2" s="14"/>
      <c r="CKS2" s="14"/>
      <c r="CKT2" s="14"/>
      <c r="CKU2" s="14"/>
      <c r="CKV2" s="14"/>
      <c r="CKW2" s="14"/>
      <c r="CKX2" s="14"/>
      <c r="CKY2" s="14"/>
      <c r="CKZ2" s="14"/>
      <c r="CLA2" s="14"/>
      <c r="CLB2" s="14"/>
      <c r="CLC2" s="14"/>
      <c r="CLD2" s="14"/>
      <c r="CLE2" s="14"/>
      <c r="CLF2" s="14"/>
      <c r="CLG2" s="14"/>
      <c r="CLH2" s="14"/>
      <c r="CLI2" s="14"/>
      <c r="CLJ2" s="14"/>
      <c r="CLK2" s="14"/>
      <c r="CLL2" s="14"/>
      <c r="CLM2" s="14"/>
      <c r="CLN2" s="14"/>
      <c r="CLO2" s="14"/>
      <c r="CLP2" s="14"/>
      <c r="CLQ2" s="14"/>
      <c r="CLR2" s="14"/>
      <c r="CLS2" s="14"/>
      <c r="CLT2" s="14"/>
      <c r="CLU2" s="14"/>
      <c r="CLV2" s="14"/>
      <c r="CLW2" s="14"/>
      <c r="CLX2" s="14"/>
      <c r="CLY2" s="14"/>
      <c r="CLZ2" s="14"/>
      <c r="CMA2" s="14"/>
      <c r="CMB2" s="14"/>
      <c r="CMC2" s="14"/>
      <c r="CMD2" s="14"/>
      <c r="CME2" s="14"/>
      <c r="CMF2" s="14"/>
      <c r="CMG2" s="14"/>
      <c r="CMH2" s="14"/>
      <c r="CMI2" s="14"/>
      <c r="CMJ2" s="14"/>
      <c r="CMK2" s="14"/>
      <c r="CML2" s="14"/>
      <c r="CMM2" s="14"/>
      <c r="CMN2" s="14"/>
      <c r="CMO2" s="14"/>
      <c r="CMP2" s="14"/>
      <c r="CMQ2" s="14"/>
      <c r="CMR2" s="14"/>
      <c r="CMS2" s="14"/>
      <c r="CMT2" s="14"/>
      <c r="CMU2" s="14"/>
      <c r="CMV2" s="14"/>
      <c r="CMW2" s="14"/>
      <c r="CMX2" s="14"/>
      <c r="CMY2" s="14"/>
      <c r="CMZ2" s="14"/>
      <c r="CNA2" s="14"/>
      <c r="CNB2" s="14"/>
      <c r="CNC2" s="14"/>
      <c r="CND2" s="14"/>
      <c r="CNE2" s="14"/>
      <c r="CNF2" s="14"/>
      <c r="CNG2" s="14"/>
      <c r="CNH2" s="14"/>
      <c r="CNI2" s="14"/>
      <c r="CNJ2" s="14"/>
      <c r="CNK2" s="14"/>
      <c r="CNL2" s="14"/>
      <c r="CNM2" s="14"/>
      <c r="CNN2" s="14"/>
      <c r="CNO2" s="14"/>
      <c r="CNP2" s="14"/>
      <c r="CNQ2" s="14"/>
      <c r="CNR2" s="14"/>
      <c r="CNS2" s="14"/>
      <c r="CNT2" s="14"/>
      <c r="CNU2" s="14"/>
      <c r="CNV2" s="14"/>
      <c r="CNW2" s="14"/>
      <c r="CNX2" s="14"/>
      <c r="CNY2" s="14"/>
      <c r="CNZ2" s="14"/>
      <c r="COA2" s="14"/>
      <c r="COB2" s="14"/>
      <c r="COC2" s="14"/>
      <c r="COD2" s="14"/>
      <c r="COE2" s="14"/>
      <c r="COF2" s="14"/>
      <c r="COG2" s="14"/>
      <c r="COH2" s="14"/>
      <c r="COI2" s="14"/>
      <c r="COJ2" s="14"/>
      <c r="COK2" s="14"/>
      <c r="COL2" s="14"/>
      <c r="COM2" s="14"/>
      <c r="CON2" s="14"/>
      <c r="COO2" s="14"/>
      <c r="COP2" s="14"/>
      <c r="COQ2" s="14"/>
      <c r="COR2" s="14"/>
      <c r="COS2" s="14"/>
      <c r="COT2" s="14"/>
      <c r="COU2" s="14"/>
      <c r="COV2" s="14"/>
      <c r="COW2" s="14"/>
      <c r="COX2" s="14"/>
      <c r="COY2" s="14"/>
      <c r="COZ2" s="14"/>
      <c r="CPA2" s="14"/>
      <c r="CPB2" s="14"/>
      <c r="CPC2" s="14"/>
      <c r="CPD2" s="14"/>
      <c r="CPE2" s="14"/>
      <c r="CPF2" s="14"/>
      <c r="CPG2" s="14"/>
      <c r="CPH2" s="14"/>
      <c r="CPI2" s="14"/>
      <c r="CPJ2" s="14"/>
      <c r="CPK2" s="14"/>
      <c r="CPL2" s="14"/>
      <c r="CPM2" s="14"/>
      <c r="CPN2" s="14"/>
      <c r="CPO2" s="14"/>
      <c r="CPP2" s="14"/>
      <c r="CPQ2" s="14"/>
      <c r="CPR2" s="14"/>
      <c r="CPS2" s="14"/>
      <c r="CPT2" s="14"/>
      <c r="CPU2" s="14"/>
      <c r="CPV2" s="14"/>
      <c r="CPW2" s="14"/>
      <c r="CPX2" s="14"/>
      <c r="CPY2" s="14"/>
      <c r="CPZ2" s="14"/>
      <c r="CQA2" s="14"/>
      <c r="CQB2" s="14"/>
      <c r="CQC2" s="14"/>
      <c r="CQD2" s="14"/>
      <c r="CQE2" s="14"/>
      <c r="CQF2" s="14"/>
      <c r="CQG2" s="14"/>
      <c r="CQH2" s="14"/>
      <c r="CQI2" s="14"/>
      <c r="CQJ2" s="14"/>
      <c r="CQK2" s="14"/>
      <c r="CQL2" s="14"/>
      <c r="CQM2" s="14"/>
      <c r="CQN2" s="14"/>
      <c r="CQO2" s="14"/>
      <c r="CQP2" s="14"/>
      <c r="CQQ2" s="14"/>
      <c r="CQR2" s="14"/>
      <c r="CQS2" s="14"/>
      <c r="CQT2" s="14"/>
      <c r="CQU2" s="14"/>
      <c r="CQV2" s="14"/>
      <c r="CQW2" s="14"/>
      <c r="CQX2" s="14"/>
      <c r="CQY2" s="14"/>
      <c r="CQZ2" s="14"/>
      <c r="CRA2" s="14"/>
      <c r="CRB2" s="14"/>
      <c r="CRC2" s="14"/>
      <c r="CRD2" s="14"/>
      <c r="CRE2" s="14"/>
      <c r="CRF2" s="14"/>
      <c r="CRG2" s="14"/>
      <c r="CRH2" s="14"/>
      <c r="CRI2" s="14"/>
      <c r="CRJ2" s="14"/>
      <c r="CRK2" s="14"/>
      <c r="CRL2" s="14"/>
      <c r="CRM2" s="14"/>
      <c r="CRN2" s="14"/>
      <c r="CRO2" s="14"/>
      <c r="CRP2" s="14"/>
      <c r="CRQ2" s="14"/>
      <c r="CRR2" s="14"/>
      <c r="CRS2" s="14"/>
      <c r="CRT2" s="14"/>
      <c r="CRU2" s="14"/>
      <c r="CRV2" s="14"/>
      <c r="CRW2" s="14"/>
      <c r="CRX2" s="14"/>
      <c r="CRY2" s="14"/>
      <c r="CRZ2" s="14"/>
      <c r="CSA2" s="14"/>
      <c r="CSB2" s="14"/>
      <c r="CSC2" s="14"/>
      <c r="CSD2" s="14"/>
      <c r="CSE2" s="14"/>
      <c r="CSF2" s="14"/>
      <c r="CSG2" s="14"/>
      <c r="CSH2" s="14"/>
      <c r="CSI2" s="14"/>
      <c r="CSJ2" s="14"/>
      <c r="CSK2" s="14"/>
      <c r="CSL2" s="14"/>
      <c r="CSM2" s="14"/>
      <c r="CSN2" s="14"/>
      <c r="CSO2" s="14"/>
      <c r="CSP2" s="14"/>
      <c r="CSQ2" s="14"/>
      <c r="CSR2" s="14"/>
      <c r="CSS2" s="14"/>
      <c r="CST2" s="14"/>
      <c r="CSU2" s="14"/>
      <c r="CSV2" s="14"/>
      <c r="CSW2" s="14"/>
      <c r="CSX2" s="14"/>
      <c r="CSY2" s="14"/>
      <c r="CSZ2" s="14"/>
      <c r="CTA2" s="14"/>
      <c r="CTB2" s="14"/>
      <c r="CTC2" s="14"/>
      <c r="CTD2" s="14"/>
      <c r="CTE2" s="14"/>
      <c r="CTF2" s="14"/>
      <c r="CTG2" s="14"/>
      <c r="CTH2" s="14"/>
      <c r="CTI2" s="14"/>
      <c r="CTJ2" s="14"/>
      <c r="CTK2" s="14"/>
      <c r="CTL2" s="14"/>
      <c r="CTM2" s="14"/>
      <c r="CTN2" s="14"/>
      <c r="CTO2" s="14"/>
      <c r="CTP2" s="14"/>
      <c r="CTQ2" s="14"/>
      <c r="CTR2" s="14"/>
      <c r="CTS2" s="14"/>
      <c r="CTT2" s="14"/>
      <c r="CTU2" s="14"/>
      <c r="CTV2" s="14"/>
      <c r="CTW2" s="14"/>
      <c r="CTX2" s="14"/>
      <c r="CTY2" s="14"/>
      <c r="CTZ2" s="14"/>
      <c r="CUA2" s="14"/>
      <c r="CUB2" s="14"/>
      <c r="CUC2" s="14"/>
      <c r="CUD2" s="14"/>
      <c r="CUE2" s="14"/>
      <c r="CUF2" s="14"/>
      <c r="CUG2" s="14"/>
      <c r="CUH2" s="14"/>
      <c r="CUI2" s="14"/>
      <c r="CUJ2" s="14"/>
      <c r="CUK2" s="14"/>
      <c r="CUL2" s="14"/>
      <c r="CUM2" s="14"/>
      <c r="CUN2" s="14"/>
      <c r="CUO2" s="14"/>
      <c r="CUP2" s="14"/>
      <c r="CUQ2" s="14"/>
      <c r="CUR2" s="14"/>
      <c r="CUS2" s="14"/>
      <c r="CUT2" s="14"/>
      <c r="CUU2" s="14"/>
      <c r="CUV2" s="14"/>
      <c r="CUW2" s="14"/>
      <c r="CUX2" s="14"/>
      <c r="CUY2" s="14"/>
      <c r="CUZ2" s="14"/>
      <c r="CVA2" s="14"/>
      <c r="CVB2" s="14"/>
      <c r="CVC2" s="14"/>
      <c r="CVD2" s="14"/>
      <c r="CVE2" s="14"/>
      <c r="CVF2" s="14"/>
      <c r="CVG2" s="14"/>
      <c r="CVH2" s="14"/>
      <c r="CVI2" s="14"/>
      <c r="CVJ2" s="14"/>
      <c r="CVK2" s="14"/>
      <c r="CVL2" s="14"/>
      <c r="CVM2" s="14"/>
      <c r="CVN2" s="14"/>
      <c r="CVO2" s="14"/>
      <c r="CVP2" s="14"/>
      <c r="CVQ2" s="14"/>
      <c r="CVR2" s="14"/>
      <c r="CVS2" s="14"/>
      <c r="CVT2" s="14"/>
      <c r="CVU2" s="14"/>
      <c r="CVV2" s="14"/>
      <c r="CVW2" s="14"/>
      <c r="CVX2" s="14"/>
      <c r="CVY2" s="14"/>
      <c r="CVZ2" s="14"/>
      <c r="CWA2" s="14"/>
      <c r="CWB2" s="14"/>
      <c r="CWC2" s="14"/>
      <c r="CWD2" s="14"/>
      <c r="CWE2" s="14"/>
      <c r="CWF2" s="14"/>
      <c r="CWG2" s="14"/>
      <c r="CWH2" s="14"/>
      <c r="CWI2" s="14"/>
      <c r="CWJ2" s="14"/>
      <c r="CWK2" s="14"/>
      <c r="CWL2" s="14"/>
      <c r="CWM2" s="14"/>
      <c r="CWN2" s="14"/>
      <c r="CWO2" s="14"/>
      <c r="CWP2" s="14"/>
      <c r="CWQ2" s="14"/>
      <c r="CWR2" s="14"/>
      <c r="CWS2" s="14"/>
      <c r="CWT2" s="14"/>
      <c r="CWU2" s="14"/>
      <c r="CWV2" s="14"/>
      <c r="CWW2" s="14"/>
      <c r="CWX2" s="14"/>
      <c r="CWY2" s="14"/>
      <c r="CWZ2" s="14"/>
      <c r="CXA2" s="14"/>
      <c r="CXB2" s="14"/>
      <c r="CXC2" s="14"/>
      <c r="CXD2" s="14"/>
      <c r="CXE2" s="14"/>
      <c r="CXF2" s="14"/>
      <c r="CXG2" s="14"/>
      <c r="CXH2" s="14"/>
      <c r="CXI2" s="14"/>
      <c r="CXJ2" s="14"/>
      <c r="CXK2" s="14"/>
      <c r="CXL2" s="14"/>
      <c r="CXM2" s="14"/>
      <c r="CXN2" s="14"/>
      <c r="CXO2" s="14"/>
      <c r="CXP2" s="14"/>
      <c r="CXQ2" s="14"/>
      <c r="CXR2" s="14"/>
      <c r="CXS2" s="14"/>
      <c r="CXT2" s="14"/>
      <c r="CXU2" s="14"/>
      <c r="CXV2" s="14"/>
      <c r="CXW2" s="14"/>
      <c r="CXX2" s="14"/>
      <c r="CXY2" s="14"/>
      <c r="CXZ2" s="14"/>
      <c r="CYA2" s="14"/>
      <c r="CYB2" s="14"/>
      <c r="CYC2" s="14"/>
      <c r="CYD2" s="14"/>
      <c r="CYE2" s="14"/>
      <c r="CYF2" s="14"/>
      <c r="CYG2" s="14"/>
      <c r="CYH2" s="14"/>
      <c r="CYI2" s="14"/>
      <c r="CYJ2" s="14"/>
      <c r="CYK2" s="14"/>
      <c r="CYL2" s="14"/>
      <c r="CYM2" s="14"/>
      <c r="CYN2" s="14"/>
      <c r="CYO2" s="14"/>
      <c r="CYP2" s="14"/>
      <c r="CYQ2" s="14"/>
      <c r="CYR2" s="14"/>
      <c r="CYS2" s="14"/>
      <c r="CYT2" s="14"/>
      <c r="CYU2" s="14"/>
      <c r="CYV2" s="14"/>
      <c r="CYW2" s="14"/>
      <c r="CYX2" s="14"/>
      <c r="CYY2" s="14"/>
      <c r="CYZ2" s="14"/>
      <c r="CZA2" s="14"/>
      <c r="CZB2" s="14"/>
      <c r="CZC2" s="14"/>
      <c r="CZD2" s="14"/>
      <c r="CZE2" s="14"/>
      <c r="CZF2" s="14"/>
      <c r="CZG2" s="14"/>
      <c r="CZH2" s="14"/>
      <c r="CZI2" s="14"/>
      <c r="CZJ2" s="14"/>
      <c r="CZK2" s="14"/>
      <c r="CZL2" s="14"/>
      <c r="CZM2" s="14"/>
      <c r="CZN2" s="14"/>
      <c r="CZO2" s="14"/>
      <c r="CZP2" s="14"/>
      <c r="CZQ2" s="14"/>
      <c r="CZR2" s="14"/>
      <c r="CZS2" s="14"/>
      <c r="CZT2" s="14"/>
      <c r="CZU2" s="14"/>
      <c r="CZV2" s="14"/>
      <c r="CZW2" s="14"/>
      <c r="CZX2" s="14"/>
      <c r="CZY2" s="14"/>
      <c r="CZZ2" s="14"/>
      <c r="DAA2" s="14"/>
      <c r="DAB2" s="14"/>
      <c r="DAC2" s="14"/>
      <c r="DAD2" s="14"/>
      <c r="DAE2" s="14"/>
      <c r="DAF2" s="14"/>
      <c r="DAG2" s="14"/>
      <c r="DAH2" s="14"/>
      <c r="DAI2" s="14"/>
      <c r="DAJ2" s="14"/>
      <c r="DAK2" s="14"/>
      <c r="DAL2" s="14"/>
      <c r="DAM2" s="14"/>
      <c r="DAN2" s="14"/>
      <c r="DAO2" s="14"/>
      <c r="DAP2" s="14"/>
      <c r="DAQ2" s="14"/>
      <c r="DAR2" s="14"/>
      <c r="DAS2" s="14"/>
      <c r="DAT2" s="14"/>
      <c r="DAU2" s="14"/>
      <c r="DAV2" s="14"/>
      <c r="DAW2" s="14"/>
      <c r="DAX2" s="14"/>
      <c r="DAY2" s="14"/>
      <c r="DAZ2" s="14"/>
      <c r="DBA2" s="14"/>
      <c r="DBB2" s="14"/>
      <c r="DBC2" s="14"/>
      <c r="DBD2" s="14"/>
      <c r="DBE2" s="14"/>
      <c r="DBF2" s="14"/>
      <c r="DBG2" s="14"/>
      <c r="DBH2" s="14"/>
      <c r="DBI2" s="14"/>
      <c r="DBJ2" s="14"/>
      <c r="DBK2" s="14"/>
      <c r="DBL2" s="14"/>
      <c r="DBM2" s="14"/>
      <c r="DBN2" s="14"/>
      <c r="DBO2" s="14"/>
      <c r="DBP2" s="14"/>
      <c r="DBQ2" s="14"/>
      <c r="DBR2" s="14"/>
      <c r="DBS2" s="14"/>
      <c r="DBT2" s="14"/>
      <c r="DBU2" s="14"/>
      <c r="DBV2" s="14"/>
      <c r="DBW2" s="14"/>
      <c r="DBX2" s="14"/>
      <c r="DBY2" s="14"/>
      <c r="DBZ2" s="14"/>
      <c r="DCA2" s="14"/>
      <c r="DCB2" s="14"/>
      <c r="DCC2" s="14"/>
      <c r="DCD2" s="14"/>
      <c r="DCE2" s="14"/>
      <c r="DCF2" s="14"/>
      <c r="DCG2" s="14"/>
      <c r="DCH2" s="14"/>
      <c r="DCI2" s="14"/>
      <c r="DCJ2" s="14"/>
      <c r="DCK2" s="14"/>
      <c r="DCL2" s="14"/>
      <c r="DCM2" s="14"/>
      <c r="DCN2" s="14"/>
      <c r="DCO2" s="14"/>
      <c r="DCP2" s="14"/>
      <c r="DCQ2" s="14"/>
      <c r="DCR2" s="14"/>
      <c r="DCS2" s="14"/>
      <c r="DCT2" s="14"/>
      <c r="DCU2" s="14"/>
      <c r="DCV2" s="14"/>
      <c r="DCW2" s="14"/>
      <c r="DCX2" s="14"/>
      <c r="DCY2" s="14"/>
      <c r="DCZ2" s="14"/>
      <c r="DDA2" s="14"/>
      <c r="DDB2" s="14"/>
      <c r="DDC2" s="14"/>
      <c r="DDD2" s="14"/>
      <c r="DDE2" s="14"/>
      <c r="DDF2" s="14"/>
      <c r="DDG2" s="14"/>
      <c r="DDH2" s="14"/>
      <c r="DDI2" s="14"/>
      <c r="DDJ2" s="14"/>
      <c r="DDK2" s="14"/>
      <c r="DDL2" s="14"/>
      <c r="DDM2" s="14"/>
      <c r="DDN2" s="14"/>
      <c r="DDO2" s="14"/>
      <c r="DDP2" s="14"/>
      <c r="DDQ2" s="14"/>
      <c r="DDR2" s="14"/>
      <c r="DDS2" s="14"/>
      <c r="DDT2" s="14"/>
      <c r="DDU2" s="14"/>
      <c r="DDV2" s="14"/>
      <c r="DDW2" s="14"/>
      <c r="DDX2" s="14"/>
      <c r="DDY2" s="14"/>
      <c r="DDZ2" s="14"/>
      <c r="DEA2" s="14"/>
      <c r="DEB2" s="14"/>
      <c r="DEC2" s="14"/>
      <c r="DED2" s="14"/>
      <c r="DEE2" s="14"/>
      <c r="DEF2" s="14"/>
      <c r="DEG2" s="14"/>
      <c r="DEH2" s="14"/>
      <c r="DEI2" s="14"/>
      <c r="DEJ2" s="14"/>
      <c r="DEK2" s="14"/>
      <c r="DEL2" s="14"/>
      <c r="DEM2" s="14"/>
      <c r="DEN2" s="14"/>
      <c r="DEO2" s="14"/>
      <c r="DEP2" s="14"/>
      <c r="DEQ2" s="14"/>
      <c r="DER2" s="14"/>
      <c r="DES2" s="14"/>
      <c r="DET2" s="14"/>
      <c r="DEU2" s="14"/>
      <c r="DEV2" s="14"/>
      <c r="DEW2" s="14"/>
      <c r="DEX2" s="14"/>
      <c r="DEY2" s="14"/>
      <c r="DEZ2" s="14"/>
      <c r="DFA2" s="14"/>
      <c r="DFB2" s="14"/>
      <c r="DFC2" s="14"/>
      <c r="DFD2" s="14"/>
      <c r="DFE2" s="14"/>
      <c r="DFF2" s="14"/>
      <c r="DFG2" s="14"/>
      <c r="DFH2" s="14"/>
      <c r="DFI2" s="14"/>
      <c r="DFJ2" s="14"/>
      <c r="DFK2" s="14"/>
      <c r="DFL2" s="14"/>
      <c r="DFM2" s="14"/>
      <c r="DFN2" s="14"/>
      <c r="DFO2" s="14"/>
      <c r="DFP2" s="14"/>
      <c r="DFQ2" s="14"/>
      <c r="DFR2" s="14"/>
      <c r="DFS2" s="14"/>
      <c r="DFT2" s="14"/>
      <c r="DFU2" s="14"/>
      <c r="DFV2" s="14"/>
      <c r="DFW2" s="14"/>
      <c r="DFX2" s="14"/>
      <c r="DFY2" s="14"/>
      <c r="DFZ2" s="14"/>
      <c r="DGA2" s="14"/>
      <c r="DGB2" s="14"/>
      <c r="DGC2" s="14"/>
      <c r="DGD2" s="14"/>
      <c r="DGE2" s="14"/>
      <c r="DGF2" s="14"/>
      <c r="DGG2" s="14"/>
      <c r="DGH2" s="14"/>
      <c r="DGI2" s="14"/>
      <c r="DGJ2" s="14"/>
      <c r="DGK2" s="14"/>
      <c r="DGL2" s="14"/>
      <c r="DGM2" s="14"/>
      <c r="DGN2" s="14"/>
      <c r="DGO2" s="14"/>
      <c r="DGP2" s="14"/>
      <c r="DGQ2" s="14"/>
      <c r="DGR2" s="14"/>
      <c r="DGS2" s="14"/>
      <c r="DGT2" s="14"/>
      <c r="DGU2" s="14"/>
      <c r="DGV2" s="14"/>
      <c r="DGW2" s="14"/>
      <c r="DGX2" s="14"/>
      <c r="DGY2" s="14"/>
      <c r="DGZ2" s="14"/>
      <c r="DHA2" s="14"/>
      <c r="DHB2" s="14"/>
      <c r="DHC2" s="14"/>
      <c r="DHD2" s="14"/>
      <c r="DHE2" s="14"/>
      <c r="DHF2" s="14"/>
      <c r="DHG2" s="14"/>
      <c r="DHH2" s="14"/>
      <c r="DHI2" s="14"/>
      <c r="DHJ2" s="14"/>
      <c r="DHK2" s="14"/>
      <c r="DHL2" s="14"/>
      <c r="DHM2" s="14"/>
      <c r="DHN2" s="14"/>
      <c r="DHO2" s="14"/>
      <c r="DHP2" s="14"/>
      <c r="DHQ2" s="14"/>
      <c r="DHR2" s="14"/>
      <c r="DHS2" s="14"/>
      <c r="DHT2" s="14"/>
      <c r="DHU2" s="14"/>
      <c r="DHV2" s="14"/>
      <c r="DHW2" s="14"/>
      <c r="DHX2" s="14"/>
      <c r="DHY2" s="14"/>
      <c r="DHZ2" s="14"/>
      <c r="DIA2" s="14"/>
      <c r="DIB2" s="14"/>
      <c r="DIC2" s="14"/>
      <c r="DID2" s="14"/>
      <c r="DIE2" s="14"/>
      <c r="DIF2" s="14"/>
      <c r="DIG2" s="14"/>
      <c r="DIH2" s="14"/>
      <c r="DII2" s="14"/>
      <c r="DIJ2" s="14"/>
      <c r="DIK2" s="14"/>
      <c r="DIL2" s="14"/>
      <c r="DIM2" s="14"/>
      <c r="DIN2" s="14"/>
      <c r="DIO2" s="14"/>
      <c r="DIP2" s="14"/>
      <c r="DIQ2" s="14"/>
      <c r="DIR2" s="14"/>
      <c r="DIS2" s="14"/>
      <c r="DIT2" s="14"/>
      <c r="DIU2" s="14"/>
      <c r="DIV2" s="14"/>
      <c r="DIW2" s="14"/>
      <c r="DIX2" s="14"/>
      <c r="DIY2" s="14"/>
      <c r="DIZ2" s="14"/>
      <c r="DJA2" s="14"/>
      <c r="DJB2" s="14"/>
      <c r="DJC2" s="14"/>
      <c r="DJD2" s="14"/>
      <c r="DJE2" s="14"/>
      <c r="DJF2" s="14"/>
      <c r="DJG2" s="14"/>
      <c r="DJH2" s="14"/>
      <c r="DJI2" s="14"/>
      <c r="DJJ2" s="14"/>
      <c r="DJK2" s="14"/>
      <c r="DJL2" s="14"/>
      <c r="DJM2" s="14"/>
      <c r="DJN2" s="14"/>
      <c r="DJO2" s="14"/>
      <c r="DJP2" s="14"/>
      <c r="DJQ2" s="14"/>
      <c r="DJR2" s="14"/>
      <c r="DJS2" s="14"/>
      <c r="DJT2" s="14"/>
      <c r="DJU2" s="14"/>
      <c r="DJV2" s="14"/>
      <c r="DJW2" s="14"/>
      <c r="DJX2" s="14"/>
      <c r="DJY2" s="14"/>
      <c r="DJZ2" s="14"/>
      <c r="DKA2" s="14"/>
      <c r="DKB2" s="14"/>
      <c r="DKC2" s="14"/>
      <c r="DKD2" s="14"/>
      <c r="DKE2" s="14"/>
      <c r="DKF2" s="14"/>
      <c r="DKG2" s="14"/>
      <c r="DKH2" s="14"/>
      <c r="DKI2" s="14"/>
      <c r="DKJ2" s="14"/>
      <c r="DKK2" s="14"/>
      <c r="DKL2" s="14"/>
      <c r="DKM2" s="14"/>
      <c r="DKN2" s="14"/>
      <c r="DKO2" s="14"/>
      <c r="DKP2" s="14"/>
      <c r="DKQ2" s="14"/>
      <c r="DKR2" s="14"/>
      <c r="DKS2" s="14"/>
      <c r="DKT2" s="14"/>
      <c r="DKU2" s="14"/>
      <c r="DKV2" s="14"/>
      <c r="DKW2" s="14"/>
      <c r="DKX2" s="14"/>
      <c r="DKY2" s="14"/>
      <c r="DKZ2" s="14"/>
      <c r="DLA2" s="14"/>
      <c r="DLB2" s="14"/>
      <c r="DLC2" s="14"/>
      <c r="DLD2" s="14"/>
      <c r="DLE2" s="14"/>
      <c r="DLF2" s="14"/>
      <c r="DLG2" s="14"/>
      <c r="DLH2" s="14"/>
      <c r="DLI2" s="14"/>
      <c r="DLJ2" s="14"/>
      <c r="DLK2" s="14"/>
      <c r="DLL2" s="14"/>
      <c r="DLM2" s="14"/>
      <c r="DLN2" s="14"/>
      <c r="DLO2" s="14"/>
      <c r="DLP2" s="14"/>
      <c r="DLQ2" s="14"/>
      <c r="DLR2" s="14"/>
      <c r="DLS2" s="14"/>
      <c r="DLT2" s="14"/>
      <c r="DLU2" s="14"/>
      <c r="DLV2" s="14"/>
      <c r="DLW2" s="14"/>
      <c r="DLX2" s="14"/>
      <c r="DLY2" s="14"/>
      <c r="DLZ2" s="14"/>
      <c r="DMA2" s="14"/>
      <c r="DMB2" s="14"/>
      <c r="DMC2" s="14"/>
      <c r="DMD2" s="14"/>
      <c r="DME2" s="14"/>
      <c r="DMF2" s="14"/>
      <c r="DMG2" s="14"/>
      <c r="DMH2" s="14"/>
      <c r="DMI2" s="14"/>
      <c r="DMJ2" s="14"/>
      <c r="DMK2" s="14"/>
      <c r="DML2" s="14"/>
      <c r="DMM2" s="14"/>
      <c r="DMN2" s="14"/>
      <c r="DMO2" s="14"/>
      <c r="DMP2" s="14"/>
      <c r="DMQ2" s="14"/>
      <c r="DMR2" s="14"/>
      <c r="DMS2" s="14"/>
      <c r="DMT2" s="14"/>
      <c r="DMU2" s="14"/>
      <c r="DMV2" s="14"/>
      <c r="DMW2" s="14"/>
      <c r="DMX2" s="14"/>
      <c r="DMY2" s="14"/>
      <c r="DMZ2" s="14"/>
      <c r="DNA2" s="14"/>
      <c r="DNB2" s="14"/>
      <c r="DNC2" s="14"/>
      <c r="DND2" s="14"/>
      <c r="DNE2" s="14"/>
      <c r="DNF2" s="14"/>
      <c r="DNG2" s="14"/>
      <c r="DNH2" s="14"/>
      <c r="DNI2" s="14"/>
      <c r="DNJ2" s="14"/>
      <c r="DNK2" s="14"/>
      <c r="DNL2" s="14"/>
      <c r="DNM2" s="14"/>
      <c r="DNN2" s="14"/>
      <c r="DNO2" s="14"/>
      <c r="DNP2" s="14"/>
      <c r="DNQ2" s="14"/>
      <c r="DNR2" s="14"/>
      <c r="DNS2" s="14"/>
      <c r="DNT2" s="14"/>
      <c r="DNU2" s="14"/>
      <c r="DNV2" s="14"/>
      <c r="DNW2" s="14"/>
      <c r="DNX2" s="14"/>
      <c r="DNY2" s="14"/>
      <c r="DNZ2" s="14"/>
      <c r="DOA2" s="14"/>
      <c r="DOB2" s="14"/>
      <c r="DOC2" s="14"/>
      <c r="DOD2" s="14"/>
      <c r="DOE2" s="14"/>
      <c r="DOF2" s="14"/>
      <c r="DOG2" s="14"/>
      <c r="DOH2" s="14"/>
      <c r="DOI2" s="14"/>
      <c r="DOJ2" s="14"/>
      <c r="DOK2" s="14"/>
      <c r="DOL2" s="14"/>
      <c r="DOM2" s="14"/>
      <c r="DON2" s="14"/>
      <c r="DOO2" s="14"/>
      <c r="DOP2" s="14"/>
      <c r="DOQ2" s="14"/>
      <c r="DOR2" s="14"/>
      <c r="DOS2" s="14"/>
      <c r="DOT2" s="14"/>
      <c r="DOU2" s="14"/>
      <c r="DOV2" s="14"/>
      <c r="DOW2" s="14"/>
      <c r="DOX2" s="14"/>
      <c r="DOY2" s="14"/>
      <c r="DOZ2" s="14"/>
      <c r="DPA2" s="14"/>
      <c r="DPB2" s="14"/>
      <c r="DPC2" s="14"/>
      <c r="DPD2" s="14"/>
      <c r="DPE2" s="14"/>
      <c r="DPF2" s="14"/>
      <c r="DPG2" s="14"/>
      <c r="DPH2" s="14"/>
      <c r="DPI2" s="14"/>
      <c r="DPJ2" s="14"/>
      <c r="DPK2" s="14"/>
      <c r="DPL2" s="14"/>
      <c r="DPM2" s="14"/>
      <c r="DPN2" s="14"/>
      <c r="DPO2" s="14"/>
      <c r="DPP2" s="14"/>
      <c r="DPQ2" s="14"/>
      <c r="DPR2" s="14"/>
      <c r="DPS2" s="14"/>
      <c r="DPT2" s="14"/>
      <c r="DPU2" s="14"/>
      <c r="DPV2" s="14"/>
      <c r="DPW2" s="14"/>
      <c r="DPX2" s="14"/>
      <c r="DPY2" s="14"/>
      <c r="DPZ2" s="14"/>
      <c r="DQA2" s="14"/>
      <c r="DQB2" s="14"/>
      <c r="DQC2" s="14"/>
      <c r="DQD2" s="14"/>
      <c r="DQE2" s="14"/>
      <c r="DQF2" s="14"/>
      <c r="DQG2" s="14"/>
      <c r="DQH2" s="14"/>
      <c r="DQI2" s="14"/>
      <c r="DQJ2" s="14"/>
      <c r="DQK2" s="14"/>
      <c r="DQL2" s="14"/>
      <c r="DQM2" s="14"/>
      <c r="DQN2" s="14"/>
      <c r="DQO2" s="14"/>
      <c r="DQP2" s="14"/>
      <c r="DQQ2" s="14"/>
      <c r="DQR2" s="14"/>
      <c r="DQS2" s="14"/>
      <c r="DQT2" s="14"/>
      <c r="DQU2" s="14"/>
      <c r="DQV2" s="14"/>
      <c r="DQW2" s="14"/>
      <c r="DQX2" s="14"/>
      <c r="DQY2" s="14"/>
      <c r="DQZ2" s="14"/>
      <c r="DRA2" s="14"/>
      <c r="DRB2" s="14"/>
      <c r="DRC2" s="14"/>
      <c r="DRD2" s="14"/>
      <c r="DRE2" s="14"/>
      <c r="DRF2" s="14"/>
      <c r="DRG2" s="14"/>
      <c r="DRH2" s="14"/>
      <c r="DRI2" s="14"/>
      <c r="DRJ2" s="14"/>
      <c r="DRK2" s="14"/>
      <c r="DRL2" s="14"/>
      <c r="DRM2" s="14"/>
      <c r="DRN2" s="14"/>
      <c r="DRO2" s="14"/>
      <c r="DRP2" s="14"/>
      <c r="DRQ2" s="14"/>
      <c r="DRR2" s="14"/>
      <c r="DRS2" s="14"/>
      <c r="DRT2" s="14"/>
      <c r="DRU2" s="14"/>
      <c r="DRV2" s="14"/>
      <c r="DRW2" s="14"/>
      <c r="DRX2" s="14"/>
      <c r="DRY2" s="14"/>
      <c r="DRZ2" s="14"/>
      <c r="DSA2" s="14"/>
      <c r="DSB2" s="14"/>
      <c r="DSC2" s="14"/>
      <c r="DSD2" s="14"/>
      <c r="DSE2" s="14"/>
      <c r="DSF2" s="14"/>
      <c r="DSG2" s="14"/>
      <c r="DSH2" s="14"/>
      <c r="DSI2" s="14"/>
      <c r="DSJ2" s="14"/>
      <c r="DSK2" s="14"/>
      <c r="DSL2" s="14"/>
      <c r="DSM2" s="14"/>
      <c r="DSN2" s="14"/>
      <c r="DSO2" s="14"/>
      <c r="DSP2" s="14"/>
      <c r="DSQ2" s="14"/>
      <c r="DSR2" s="14"/>
      <c r="DSS2" s="14"/>
      <c r="DST2" s="14"/>
      <c r="DSU2" s="14"/>
      <c r="DSV2" s="14"/>
      <c r="DSW2" s="14"/>
      <c r="DSX2" s="14"/>
      <c r="DSY2" s="14"/>
      <c r="DSZ2" s="14"/>
      <c r="DTA2" s="14"/>
      <c r="DTB2" s="14"/>
      <c r="DTC2" s="14"/>
      <c r="DTD2" s="14"/>
      <c r="DTE2" s="14"/>
      <c r="DTF2" s="14"/>
      <c r="DTG2" s="14"/>
      <c r="DTH2" s="14"/>
      <c r="DTI2" s="14"/>
      <c r="DTJ2" s="14"/>
      <c r="DTK2" s="14"/>
      <c r="DTL2" s="14"/>
      <c r="DTM2" s="14"/>
      <c r="DTN2" s="14"/>
      <c r="DTO2" s="14"/>
      <c r="DTP2" s="14"/>
      <c r="DTQ2" s="14"/>
      <c r="DTR2" s="14"/>
      <c r="DTS2" s="14"/>
      <c r="DTT2" s="14"/>
      <c r="DTU2" s="14"/>
      <c r="DTV2" s="14"/>
      <c r="DTW2" s="14"/>
      <c r="DTX2" s="14"/>
      <c r="DTY2" s="14"/>
      <c r="DTZ2" s="14"/>
      <c r="DUA2" s="14"/>
      <c r="DUB2" s="14"/>
      <c r="DUC2" s="14"/>
      <c r="DUD2" s="14"/>
      <c r="DUE2" s="14"/>
      <c r="DUF2" s="14"/>
      <c r="DUG2" s="14"/>
      <c r="DUH2" s="14"/>
      <c r="DUI2" s="14"/>
      <c r="DUJ2" s="14"/>
      <c r="DUK2" s="14"/>
      <c r="DUL2" s="14"/>
      <c r="DUM2" s="14"/>
      <c r="DUN2" s="14"/>
      <c r="DUO2" s="14"/>
      <c r="DUP2" s="14"/>
      <c r="DUQ2" s="14"/>
      <c r="DUR2" s="14"/>
      <c r="DUS2" s="14"/>
      <c r="DUT2" s="14"/>
      <c r="DUU2" s="14"/>
      <c r="DUV2" s="14"/>
      <c r="DUW2" s="14"/>
      <c r="DUX2" s="14"/>
      <c r="DUY2" s="14"/>
      <c r="DUZ2" s="14"/>
      <c r="DVA2" s="14"/>
      <c r="DVB2" s="14"/>
      <c r="DVC2" s="14"/>
      <c r="DVD2" s="14"/>
      <c r="DVE2" s="14"/>
      <c r="DVF2" s="14"/>
      <c r="DVG2" s="14"/>
      <c r="DVH2" s="14"/>
      <c r="DVI2" s="14"/>
      <c r="DVJ2" s="14"/>
      <c r="DVK2" s="14"/>
      <c r="DVL2" s="14"/>
      <c r="DVM2" s="14"/>
      <c r="DVN2" s="14"/>
      <c r="DVO2" s="14"/>
      <c r="DVP2" s="14"/>
      <c r="DVQ2" s="14"/>
      <c r="DVR2" s="14"/>
      <c r="DVS2" s="14"/>
      <c r="DVT2" s="14"/>
      <c r="DVU2" s="14"/>
      <c r="DVV2" s="14"/>
      <c r="DVW2" s="14"/>
      <c r="DVX2" s="14"/>
      <c r="DVY2" s="14"/>
      <c r="DVZ2" s="14"/>
      <c r="DWA2" s="14"/>
      <c r="DWB2" s="14"/>
      <c r="DWC2" s="14"/>
      <c r="DWD2" s="14"/>
      <c r="DWE2" s="14"/>
      <c r="DWF2" s="14"/>
      <c r="DWG2" s="14"/>
      <c r="DWH2" s="14"/>
      <c r="DWI2" s="14"/>
      <c r="DWJ2" s="14"/>
      <c r="DWK2" s="14"/>
      <c r="DWL2" s="14"/>
      <c r="DWM2" s="14"/>
      <c r="DWN2" s="14"/>
      <c r="DWO2" s="14"/>
      <c r="DWP2" s="14"/>
      <c r="DWQ2" s="14"/>
      <c r="DWR2" s="14"/>
      <c r="DWS2" s="14"/>
      <c r="DWT2" s="14"/>
      <c r="DWU2" s="14"/>
      <c r="DWV2" s="14"/>
      <c r="DWW2" s="14"/>
      <c r="DWX2" s="14"/>
      <c r="DWY2" s="14"/>
      <c r="DWZ2" s="14"/>
      <c r="DXA2" s="14"/>
      <c r="DXB2" s="14"/>
      <c r="DXC2" s="14"/>
      <c r="DXD2" s="14"/>
      <c r="DXE2" s="14"/>
      <c r="DXF2" s="14"/>
      <c r="DXG2" s="14"/>
      <c r="DXH2" s="14"/>
      <c r="DXI2" s="14"/>
      <c r="DXJ2" s="14"/>
      <c r="DXK2" s="14"/>
      <c r="DXL2" s="14"/>
      <c r="DXM2" s="14"/>
      <c r="DXN2" s="14"/>
      <c r="DXO2" s="14"/>
      <c r="DXP2" s="14"/>
      <c r="DXQ2" s="14"/>
      <c r="DXR2" s="14"/>
      <c r="DXS2" s="14"/>
      <c r="DXT2" s="14"/>
      <c r="DXU2" s="14"/>
      <c r="DXV2" s="14"/>
      <c r="DXW2" s="14"/>
      <c r="DXX2" s="14"/>
      <c r="DXY2" s="14"/>
      <c r="DXZ2" s="14"/>
      <c r="DYA2" s="14"/>
      <c r="DYB2" s="14"/>
      <c r="DYC2" s="14"/>
      <c r="DYD2" s="14"/>
      <c r="DYE2" s="14"/>
      <c r="DYF2" s="14"/>
      <c r="DYG2" s="14"/>
      <c r="DYH2" s="14"/>
      <c r="DYI2" s="14"/>
      <c r="DYJ2" s="14"/>
      <c r="DYK2" s="14"/>
      <c r="DYL2" s="14"/>
      <c r="DYM2" s="14"/>
      <c r="DYN2" s="14"/>
      <c r="DYO2" s="14"/>
      <c r="DYP2" s="14"/>
      <c r="DYQ2" s="14"/>
      <c r="DYR2" s="14"/>
      <c r="DYS2" s="14"/>
      <c r="DYT2" s="14"/>
      <c r="DYU2" s="14"/>
      <c r="DYV2" s="14"/>
      <c r="DYW2" s="14"/>
      <c r="DYX2" s="14"/>
      <c r="DYY2" s="14"/>
      <c r="DYZ2" s="14"/>
      <c r="DZA2" s="14"/>
      <c r="DZB2" s="14"/>
      <c r="DZC2" s="14"/>
      <c r="DZD2" s="14"/>
      <c r="DZE2" s="14"/>
      <c r="DZF2" s="14"/>
      <c r="DZG2" s="14"/>
      <c r="DZH2" s="14"/>
      <c r="DZI2" s="14"/>
      <c r="DZJ2" s="14"/>
      <c r="DZK2" s="14"/>
      <c r="DZL2" s="14"/>
      <c r="DZM2" s="14"/>
      <c r="DZN2" s="14"/>
      <c r="DZO2" s="14"/>
      <c r="DZP2" s="14"/>
      <c r="DZQ2" s="14"/>
      <c r="DZR2" s="14"/>
      <c r="DZS2" s="14"/>
      <c r="DZT2" s="14"/>
      <c r="DZU2" s="14"/>
      <c r="DZV2" s="14"/>
      <c r="DZW2" s="14"/>
      <c r="DZX2" s="14"/>
      <c r="DZY2" s="14"/>
      <c r="DZZ2" s="14"/>
      <c r="EAA2" s="14"/>
      <c r="EAB2" s="14"/>
      <c r="EAC2" s="14"/>
      <c r="EAD2" s="14"/>
      <c r="EAE2" s="14"/>
      <c r="EAF2" s="14"/>
      <c r="EAG2" s="14"/>
      <c r="EAH2" s="14"/>
      <c r="EAI2" s="14"/>
      <c r="EAJ2" s="14"/>
      <c r="EAK2" s="14"/>
      <c r="EAL2" s="14"/>
      <c r="EAM2" s="14"/>
      <c r="EAN2" s="14"/>
      <c r="EAO2" s="14"/>
      <c r="EAP2" s="14"/>
      <c r="EAQ2" s="14"/>
      <c r="EAR2" s="14"/>
      <c r="EAS2" s="14"/>
      <c r="EAT2" s="14"/>
      <c r="EAU2" s="14"/>
      <c r="EAV2" s="14"/>
      <c r="EAW2" s="14"/>
      <c r="EAX2" s="14"/>
      <c r="EAY2" s="14"/>
      <c r="EAZ2" s="14"/>
      <c r="EBA2" s="14"/>
      <c r="EBB2" s="14"/>
      <c r="EBC2" s="14"/>
      <c r="EBD2" s="14"/>
      <c r="EBE2" s="14"/>
      <c r="EBF2" s="14"/>
      <c r="EBG2" s="14"/>
      <c r="EBH2" s="14"/>
      <c r="EBI2" s="14"/>
      <c r="EBJ2" s="14"/>
      <c r="EBK2" s="14"/>
      <c r="EBL2" s="14"/>
      <c r="EBM2" s="14"/>
      <c r="EBN2" s="14"/>
      <c r="EBO2" s="14"/>
      <c r="EBP2" s="14"/>
      <c r="EBQ2" s="14"/>
      <c r="EBR2" s="14"/>
      <c r="EBS2" s="14"/>
      <c r="EBT2" s="14"/>
      <c r="EBU2" s="14"/>
      <c r="EBV2" s="14"/>
      <c r="EBW2" s="14"/>
      <c r="EBX2" s="14"/>
      <c r="EBY2" s="14"/>
      <c r="EBZ2" s="14"/>
      <c r="ECA2" s="14"/>
      <c r="ECB2" s="14"/>
      <c r="ECC2" s="14"/>
      <c r="ECD2" s="14"/>
      <c r="ECE2" s="14"/>
      <c r="ECF2" s="14"/>
      <c r="ECG2" s="14"/>
      <c r="ECH2" s="14"/>
      <c r="ECI2" s="14"/>
      <c r="ECJ2" s="14"/>
      <c r="ECK2" s="14"/>
      <c r="ECL2" s="14"/>
      <c r="ECM2" s="14"/>
      <c r="ECN2" s="14"/>
      <c r="ECO2" s="14"/>
      <c r="ECP2" s="14"/>
      <c r="ECQ2" s="14"/>
      <c r="ECR2" s="14"/>
      <c r="ECS2" s="14"/>
      <c r="ECT2" s="14"/>
      <c r="ECU2" s="14"/>
      <c r="ECV2" s="14"/>
      <c r="ECW2" s="14"/>
      <c r="ECX2" s="14"/>
      <c r="ECY2" s="14"/>
      <c r="ECZ2" s="14"/>
      <c r="EDA2" s="14"/>
      <c r="EDB2" s="14"/>
      <c r="EDC2" s="14"/>
      <c r="EDD2" s="14"/>
      <c r="EDE2" s="14"/>
      <c r="EDF2" s="14"/>
      <c r="EDG2" s="14"/>
      <c r="EDH2" s="14"/>
      <c r="EDI2" s="14"/>
      <c r="EDJ2" s="14"/>
      <c r="EDK2" s="14"/>
      <c r="EDL2" s="14"/>
      <c r="EDM2" s="14"/>
      <c r="EDN2" s="14"/>
      <c r="EDO2" s="14"/>
      <c r="EDP2" s="14"/>
      <c r="EDQ2" s="14"/>
      <c r="EDR2" s="14"/>
      <c r="EDS2" s="14"/>
      <c r="EDT2" s="14"/>
      <c r="EDU2" s="14"/>
      <c r="EDV2" s="14"/>
      <c r="EDW2" s="14"/>
      <c r="EDX2" s="14"/>
      <c r="EDY2" s="14"/>
      <c r="EDZ2" s="14"/>
      <c r="EEA2" s="14"/>
      <c r="EEB2" s="14"/>
      <c r="EEC2" s="14"/>
      <c r="EED2" s="14"/>
      <c r="EEE2" s="14"/>
      <c r="EEF2" s="14"/>
      <c r="EEG2" s="14"/>
      <c r="EEH2" s="14"/>
      <c r="EEI2" s="14"/>
      <c r="EEJ2" s="14"/>
      <c r="EEK2" s="14"/>
      <c r="EEL2" s="14"/>
      <c r="EEM2" s="14"/>
      <c r="EEN2" s="14"/>
      <c r="EEO2" s="14"/>
      <c r="EEP2" s="14"/>
      <c r="EEQ2" s="14"/>
      <c r="EER2" s="14"/>
      <c r="EES2" s="14"/>
      <c r="EET2" s="14"/>
      <c r="EEU2" s="14"/>
      <c r="EEV2" s="14"/>
      <c r="EEW2" s="14"/>
      <c r="EEX2" s="14"/>
      <c r="EEY2" s="14"/>
      <c r="EEZ2" s="14"/>
      <c r="EFA2" s="14"/>
      <c r="EFB2" s="14"/>
      <c r="EFC2" s="14"/>
      <c r="EFD2" s="14"/>
      <c r="EFE2" s="14"/>
      <c r="EFF2" s="14"/>
      <c r="EFG2" s="14"/>
      <c r="EFH2" s="14"/>
      <c r="EFI2" s="14"/>
      <c r="EFJ2" s="14"/>
      <c r="EFK2" s="14"/>
      <c r="EFL2" s="14"/>
      <c r="EFM2" s="14"/>
      <c r="EFN2" s="14"/>
      <c r="EFO2" s="14"/>
      <c r="EFP2" s="14"/>
      <c r="EFQ2" s="14"/>
      <c r="EFR2" s="14"/>
      <c r="EFS2" s="14"/>
      <c r="EFT2" s="14"/>
      <c r="EFU2" s="14"/>
      <c r="EFV2" s="14"/>
      <c r="EFW2" s="14"/>
      <c r="EFX2" s="14"/>
      <c r="EFY2" s="14"/>
      <c r="EFZ2" s="14"/>
      <c r="EGA2" s="14"/>
      <c r="EGB2" s="14"/>
      <c r="EGC2" s="14"/>
      <c r="EGD2" s="14"/>
      <c r="EGE2" s="14"/>
      <c r="EGF2" s="14"/>
      <c r="EGG2" s="14"/>
      <c r="EGH2" s="14"/>
      <c r="EGI2" s="14"/>
      <c r="EGJ2" s="14"/>
      <c r="EGK2" s="14"/>
      <c r="EGL2" s="14"/>
      <c r="EGM2" s="14"/>
      <c r="EGN2" s="14"/>
      <c r="EGO2" s="14"/>
      <c r="EGP2" s="14"/>
      <c r="EGQ2" s="14"/>
      <c r="EGR2" s="14"/>
      <c r="EGS2" s="14"/>
      <c r="EGT2" s="14"/>
      <c r="EGU2" s="14"/>
      <c r="EGV2" s="14"/>
      <c r="EGW2" s="14"/>
      <c r="EGX2" s="14"/>
      <c r="EGY2" s="14"/>
      <c r="EGZ2" s="14"/>
      <c r="EHA2" s="14"/>
      <c r="EHB2" s="14"/>
      <c r="EHC2" s="14"/>
      <c r="EHD2" s="14"/>
      <c r="EHE2" s="14"/>
      <c r="EHF2" s="14"/>
      <c r="EHG2" s="14"/>
      <c r="EHH2" s="14"/>
      <c r="EHI2" s="14"/>
      <c r="EHJ2" s="14"/>
      <c r="EHK2" s="14"/>
      <c r="EHL2" s="14"/>
      <c r="EHM2" s="14"/>
      <c r="EHN2" s="14"/>
      <c r="EHO2" s="14"/>
      <c r="EHP2" s="14"/>
      <c r="EHQ2" s="14"/>
      <c r="EHR2" s="14"/>
      <c r="EHS2" s="14"/>
      <c r="EHT2" s="14"/>
      <c r="EHU2" s="14"/>
      <c r="EHV2" s="14"/>
      <c r="EHW2" s="14"/>
      <c r="EHX2" s="14"/>
      <c r="EHY2" s="14"/>
      <c r="EHZ2" s="14"/>
      <c r="EIA2" s="14"/>
      <c r="EIB2" s="14"/>
      <c r="EIC2" s="14"/>
      <c r="EID2" s="14"/>
      <c r="EIE2" s="14"/>
      <c r="EIF2" s="14"/>
      <c r="EIG2" s="14"/>
      <c r="EIH2" s="14"/>
      <c r="EII2" s="14"/>
      <c r="EIJ2" s="14"/>
      <c r="EIK2" s="14"/>
      <c r="EIL2" s="14"/>
      <c r="EIM2" s="14"/>
      <c r="EIN2" s="14"/>
      <c r="EIO2" s="14"/>
      <c r="EIP2" s="14"/>
      <c r="EIQ2" s="14"/>
      <c r="EIR2" s="14"/>
      <c r="EIS2" s="14"/>
      <c r="EIT2" s="14"/>
      <c r="EIU2" s="14"/>
      <c r="EIV2" s="14"/>
      <c r="EIW2" s="14"/>
      <c r="EIX2" s="14"/>
      <c r="EIY2" s="14"/>
      <c r="EIZ2" s="14"/>
      <c r="EJA2" s="14"/>
      <c r="EJB2" s="14"/>
      <c r="EJC2" s="14"/>
      <c r="EJD2" s="14"/>
      <c r="EJE2" s="14"/>
      <c r="EJF2" s="14"/>
      <c r="EJG2" s="14"/>
      <c r="EJH2" s="14"/>
      <c r="EJI2" s="14"/>
      <c r="EJJ2" s="14"/>
      <c r="EJK2" s="14"/>
      <c r="EJL2" s="14"/>
      <c r="EJM2" s="14"/>
      <c r="EJN2" s="14"/>
      <c r="EJO2" s="14"/>
      <c r="EJP2" s="14"/>
      <c r="EJQ2" s="14"/>
      <c r="EJR2" s="14"/>
      <c r="EJS2" s="14"/>
      <c r="EJT2" s="14"/>
      <c r="EJU2" s="14"/>
      <c r="EJV2" s="14"/>
      <c r="EJW2" s="14"/>
      <c r="EJX2" s="14"/>
      <c r="EJY2" s="14"/>
      <c r="EJZ2" s="14"/>
      <c r="EKA2" s="14"/>
      <c r="EKB2" s="14"/>
      <c r="EKC2" s="14"/>
      <c r="EKD2" s="14"/>
      <c r="EKE2" s="14"/>
      <c r="EKF2" s="14"/>
      <c r="EKG2" s="14"/>
      <c r="EKH2" s="14"/>
      <c r="EKI2" s="14"/>
      <c r="EKJ2" s="14"/>
      <c r="EKK2" s="14"/>
      <c r="EKL2" s="14"/>
      <c r="EKM2" s="14"/>
      <c r="EKN2" s="14"/>
      <c r="EKO2" s="14"/>
      <c r="EKP2" s="14"/>
      <c r="EKQ2" s="14"/>
      <c r="EKR2" s="14"/>
      <c r="EKS2" s="14"/>
      <c r="EKT2" s="14"/>
      <c r="EKU2" s="14"/>
      <c r="EKV2" s="14"/>
      <c r="EKW2" s="14"/>
      <c r="EKX2" s="14"/>
      <c r="EKY2" s="14"/>
      <c r="EKZ2" s="14"/>
      <c r="ELA2" s="14"/>
      <c r="ELB2" s="14"/>
      <c r="ELC2" s="14"/>
      <c r="ELD2" s="14"/>
      <c r="ELE2" s="14"/>
      <c r="ELF2" s="14"/>
      <c r="ELG2" s="14"/>
      <c r="ELH2" s="14"/>
      <c r="ELI2" s="14"/>
      <c r="ELJ2" s="14"/>
      <c r="ELK2" s="14"/>
      <c r="ELL2" s="14"/>
      <c r="ELM2" s="14"/>
      <c r="ELN2" s="14"/>
      <c r="ELO2" s="14"/>
      <c r="ELP2" s="14"/>
      <c r="ELQ2" s="14"/>
      <c r="ELR2" s="14"/>
      <c r="ELS2" s="14"/>
      <c r="ELT2" s="14"/>
      <c r="ELU2" s="14"/>
      <c r="ELV2" s="14"/>
      <c r="ELW2" s="14"/>
      <c r="ELX2" s="14"/>
      <c r="ELY2" s="14"/>
      <c r="ELZ2" s="14"/>
      <c r="EMA2" s="14"/>
      <c r="EMB2" s="14"/>
      <c r="EMC2" s="14"/>
      <c r="EMD2" s="14"/>
      <c r="EME2" s="14"/>
      <c r="EMF2" s="14"/>
      <c r="EMG2" s="14"/>
      <c r="EMH2" s="14"/>
      <c r="EMI2" s="14"/>
      <c r="EMJ2" s="14"/>
      <c r="EMK2" s="14"/>
      <c r="EML2" s="14"/>
      <c r="EMM2" s="14"/>
      <c r="EMN2" s="14"/>
      <c r="EMO2" s="14"/>
      <c r="EMP2" s="14"/>
      <c r="EMQ2" s="14"/>
      <c r="EMR2" s="14"/>
      <c r="EMS2" s="14"/>
      <c r="EMT2" s="14"/>
      <c r="EMU2" s="14"/>
      <c r="EMV2" s="14"/>
      <c r="EMW2" s="14"/>
      <c r="EMX2" s="14"/>
      <c r="EMY2" s="14"/>
      <c r="EMZ2" s="14"/>
      <c r="ENA2" s="14"/>
      <c r="ENB2" s="14"/>
      <c r="ENC2" s="14"/>
      <c r="END2" s="14"/>
      <c r="ENE2" s="14"/>
      <c r="ENF2" s="14"/>
      <c r="ENG2" s="14"/>
      <c r="ENH2" s="14"/>
      <c r="ENI2" s="14"/>
      <c r="ENJ2" s="14"/>
      <c r="ENK2" s="14"/>
      <c r="ENL2" s="14"/>
      <c r="ENM2" s="14"/>
      <c r="ENN2" s="14"/>
      <c r="ENO2" s="14"/>
      <c r="ENP2" s="14"/>
      <c r="ENQ2" s="14"/>
      <c r="ENR2" s="14"/>
      <c r="ENS2" s="14"/>
      <c r="ENT2" s="14"/>
      <c r="ENU2" s="14"/>
      <c r="ENV2" s="14"/>
      <c r="ENW2" s="14"/>
      <c r="ENX2" s="14"/>
      <c r="ENY2" s="14"/>
      <c r="ENZ2" s="14"/>
      <c r="EOA2" s="14"/>
      <c r="EOB2" s="14"/>
      <c r="EOC2" s="14"/>
      <c r="EOD2" s="14"/>
      <c r="EOE2" s="14"/>
      <c r="EOF2" s="14"/>
      <c r="EOG2" s="14"/>
      <c r="EOH2" s="14"/>
      <c r="EOI2" s="14"/>
      <c r="EOJ2" s="14"/>
      <c r="EOK2" s="14"/>
      <c r="EOL2" s="14"/>
      <c r="EOM2" s="14"/>
      <c r="EON2" s="14"/>
      <c r="EOO2" s="14"/>
      <c r="EOP2" s="14"/>
      <c r="EOQ2" s="14"/>
      <c r="EOR2" s="14"/>
      <c r="EOS2" s="14"/>
      <c r="EOT2" s="14"/>
      <c r="EOU2" s="14"/>
      <c r="EOV2" s="14"/>
      <c r="EOW2" s="14"/>
      <c r="EOX2" s="14"/>
      <c r="EOY2" s="14"/>
      <c r="EOZ2" s="14"/>
      <c r="EPA2" s="14"/>
      <c r="EPB2" s="14"/>
      <c r="EPC2" s="14"/>
      <c r="EPD2" s="14"/>
      <c r="EPE2" s="14"/>
      <c r="EPF2" s="14"/>
      <c r="EPG2" s="14"/>
      <c r="EPH2" s="14"/>
      <c r="EPI2" s="14"/>
      <c r="EPJ2" s="14"/>
      <c r="EPK2" s="14"/>
      <c r="EPL2" s="14"/>
      <c r="EPM2" s="14"/>
      <c r="EPN2" s="14"/>
      <c r="EPO2" s="14"/>
      <c r="EPP2" s="14"/>
      <c r="EPQ2" s="14"/>
      <c r="EPR2" s="14"/>
      <c r="EPS2" s="14"/>
      <c r="EPT2" s="14"/>
      <c r="EPU2" s="14"/>
      <c r="EPV2" s="14"/>
      <c r="EPW2" s="14"/>
      <c r="EPX2" s="14"/>
      <c r="EPY2" s="14"/>
      <c r="EPZ2" s="14"/>
      <c r="EQA2" s="14"/>
      <c r="EQB2" s="14"/>
      <c r="EQC2" s="14"/>
      <c r="EQD2" s="14"/>
      <c r="EQE2" s="14"/>
      <c r="EQF2" s="14"/>
      <c r="EQG2" s="14"/>
      <c r="EQH2" s="14"/>
      <c r="EQI2" s="14"/>
      <c r="EQJ2" s="14"/>
      <c r="EQK2" s="14"/>
      <c r="EQL2" s="14"/>
      <c r="EQM2" s="14"/>
      <c r="EQN2" s="14"/>
      <c r="EQO2" s="14"/>
      <c r="EQP2" s="14"/>
      <c r="EQQ2" s="14"/>
      <c r="EQR2" s="14"/>
      <c r="EQS2" s="14"/>
      <c r="EQT2" s="14"/>
      <c r="EQU2" s="14"/>
      <c r="EQV2" s="14"/>
      <c r="EQW2" s="14"/>
      <c r="EQX2" s="14"/>
      <c r="EQY2" s="14"/>
      <c r="EQZ2" s="14"/>
      <c r="ERA2" s="14"/>
      <c r="ERB2" s="14"/>
      <c r="ERC2" s="14"/>
      <c r="ERD2" s="14"/>
      <c r="ERE2" s="14"/>
      <c r="ERF2" s="14"/>
      <c r="ERG2" s="14"/>
      <c r="ERH2" s="14"/>
      <c r="ERI2" s="14"/>
      <c r="ERJ2" s="14"/>
      <c r="ERK2" s="14"/>
      <c r="ERL2" s="14"/>
      <c r="ERM2" s="14"/>
      <c r="ERN2" s="14"/>
      <c r="ERO2" s="14"/>
      <c r="ERP2" s="14"/>
      <c r="ERQ2" s="14"/>
      <c r="ERR2" s="14"/>
      <c r="ERS2" s="14"/>
      <c r="ERT2" s="14"/>
      <c r="ERU2" s="14"/>
      <c r="ERV2" s="14"/>
      <c r="ERW2" s="14"/>
      <c r="ERX2" s="14"/>
      <c r="ERY2" s="14"/>
      <c r="ERZ2" s="14"/>
      <c r="ESA2" s="14"/>
      <c r="ESB2" s="14"/>
      <c r="ESC2" s="14"/>
      <c r="ESD2" s="14"/>
      <c r="ESE2" s="14"/>
      <c r="ESF2" s="14"/>
      <c r="ESG2" s="14"/>
      <c r="ESH2" s="14"/>
      <c r="ESI2" s="14"/>
      <c r="ESJ2" s="14"/>
      <c r="ESK2" s="14"/>
      <c r="ESL2" s="14"/>
      <c r="ESM2" s="14"/>
      <c r="ESN2" s="14"/>
      <c r="ESO2" s="14"/>
      <c r="ESP2" s="14"/>
      <c r="ESQ2" s="14"/>
      <c r="ESR2" s="14"/>
      <c r="ESS2" s="14"/>
      <c r="EST2" s="14"/>
      <c r="ESU2" s="14"/>
      <c r="ESV2" s="14"/>
      <c r="ESW2" s="14"/>
      <c r="ESX2" s="14"/>
      <c r="ESY2" s="14"/>
      <c r="ESZ2" s="14"/>
      <c r="ETA2" s="14"/>
      <c r="ETB2" s="14"/>
      <c r="ETC2" s="14"/>
      <c r="ETD2" s="14"/>
      <c r="ETE2" s="14"/>
      <c r="ETF2" s="14"/>
      <c r="ETG2" s="14"/>
      <c r="ETH2" s="14"/>
      <c r="ETI2" s="14"/>
      <c r="ETJ2" s="14"/>
      <c r="ETK2" s="14"/>
      <c r="ETL2" s="14"/>
      <c r="ETM2" s="14"/>
      <c r="ETN2" s="14"/>
      <c r="ETO2" s="14"/>
      <c r="ETP2" s="14"/>
      <c r="ETQ2" s="14"/>
      <c r="ETR2" s="14"/>
      <c r="ETS2" s="14"/>
      <c r="ETT2" s="14"/>
      <c r="ETU2" s="14"/>
      <c r="ETV2" s="14"/>
      <c r="ETW2" s="14"/>
      <c r="ETX2" s="14"/>
      <c r="ETY2" s="14"/>
      <c r="ETZ2" s="14"/>
      <c r="EUA2" s="14"/>
      <c r="EUB2" s="14"/>
      <c r="EUC2" s="14"/>
      <c r="EUD2" s="14"/>
      <c r="EUE2" s="14"/>
      <c r="EUF2" s="14"/>
      <c r="EUG2" s="14"/>
      <c r="EUH2" s="14"/>
      <c r="EUI2" s="14"/>
      <c r="EUJ2" s="14"/>
      <c r="EUK2" s="14"/>
      <c r="EUL2" s="14"/>
      <c r="EUM2" s="14"/>
      <c r="EUN2" s="14"/>
      <c r="EUO2" s="14"/>
      <c r="EUP2" s="14"/>
      <c r="EUQ2" s="14"/>
      <c r="EUR2" s="14"/>
      <c r="EUS2" s="14"/>
      <c r="EUT2" s="14"/>
      <c r="EUU2" s="14"/>
      <c r="EUV2" s="14"/>
      <c r="EUW2" s="14"/>
      <c r="EUX2" s="14"/>
      <c r="EUY2" s="14"/>
      <c r="EUZ2" s="14"/>
      <c r="EVA2" s="14"/>
      <c r="EVB2" s="14"/>
      <c r="EVC2" s="14"/>
      <c r="EVD2" s="14"/>
      <c r="EVE2" s="14"/>
      <c r="EVF2" s="14"/>
      <c r="EVG2" s="14"/>
      <c r="EVH2" s="14"/>
      <c r="EVI2" s="14"/>
      <c r="EVJ2" s="14"/>
      <c r="EVK2" s="14"/>
      <c r="EVL2" s="14"/>
      <c r="EVM2" s="14"/>
      <c r="EVN2" s="14"/>
      <c r="EVO2" s="14"/>
      <c r="EVP2" s="14"/>
      <c r="EVQ2" s="14"/>
      <c r="EVR2" s="14"/>
      <c r="EVS2" s="14"/>
      <c r="EVT2" s="14"/>
      <c r="EVU2" s="14"/>
      <c r="EVV2" s="14"/>
      <c r="EVW2" s="14"/>
      <c r="EVX2" s="14"/>
      <c r="EVY2" s="14"/>
      <c r="EVZ2" s="14"/>
      <c r="EWA2" s="14"/>
      <c r="EWB2" s="14"/>
      <c r="EWC2" s="14"/>
      <c r="EWD2" s="14"/>
      <c r="EWE2" s="14"/>
      <c r="EWF2" s="14"/>
      <c r="EWG2" s="14"/>
      <c r="EWH2" s="14"/>
      <c r="EWI2" s="14"/>
      <c r="EWJ2" s="14"/>
      <c r="EWK2" s="14"/>
      <c r="EWL2" s="14"/>
      <c r="EWM2" s="14"/>
      <c r="EWN2" s="14"/>
      <c r="EWO2" s="14"/>
      <c r="EWP2" s="14"/>
      <c r="EWQ2" s="14"/>
      <c r="EWR2" s="14"/>
      <c r="EWS2" s="14"/>
      <c r="EWT2" s="14"/>
      <c r="EWU2" s="14"/>
      <c r="EWV2" s="14"/>
      <c r="EWW2" s="14"/>
      <c r="EWX2" s="14"/>
      <c r="EWY2" s="14"/>
      <c r="EWZ2" s="14"/>
      <c r="EXA2" s="14"/>
      <c r="EXB2" s="14"/>
      <c r="EXC2" s="14"/>
      <c r="EXD2" s="14"/>
      <c r="EXE2" s="14"/>
      <c r="EXF2" s="14"/>
      <c r="EXG2" s="14"/>
      <c r="EXH2" s="14"/>
      <c r="EXI2" s="14"/>
      <c r="EXJ2" s="14"/>
      <c r="EXK2" s="14"/>
      <c r="EXL2" s="14"/>
      <c r="EXM2" s="14"/>
      <c r="EXN2" s="14"/>
      <c r="EXO2" s="14"/>
      <c r="EXP2" s="14"/>
      <c r="EXQ2" s="14"/>
      <c r="EXR2" s="14"/>
      <c r="EXS2" s="14"/>
      <c r="EXT2" s="14"/>
      <c r="EXU2" s="14"/>
      <c r="EXV2" s="14"/>
      <c r="EXW2" s="14"/>
      <c r="EXX2" s="14"/>
      <c r="EXY2" s="14"/>
      <c r="EXZ2" s="14"/>
      <c r="EYA2" s="14"/>
      <c r="EYB2" s="14"/>
      <c r="EYC2" s="14"/>
      <c r="EYD2" s="14"/>
      <c r="EYE2" s="14"/>
      <c r="EYF2" s="14"/>
      <c r="EYG2" s="14"/>
      <c r="EYH2" s="14"/>
      <c r="EYI2" s="14"/>
      <c r="EYJ2" s="14"/>
      <c r="EYK2" s="14"/>
      <c r="EYL2" s="14"/>
      <c r="EYM2" s="14"/>
      <c r="EYN2" s="14"/>
      <c r="EYO2" s="14"/>
      <c r="EYP2" s="14"/>
      <c r="EYQ2" s="14"/>
      <c r="EYR2" s="14"/>
      <c r="EYS2" s="14"/>
      <c r="EYT2" s="14"/>
      <c r="EYU2" s="14"/>
      <c r="EYV2" s="14"/>
      <c r="EYW2" s="14"/>
      <c r="EYX2" s="14"/>
      <c r="EYY2" s="14"/>
      <c r="EYZ2" s="14"/>
      <c r="EZA2" s="14"/>
      <c r="EZB2" s="14"/>
      <c r="EZC2" s="14"/>
      <c r="EZD2" s="14"/>
      <c r="EZE2" s="14"/>
      <c r="EZF2" s="14"/>
      <c r="EZG2" s="14"/>
      <c r="EZH2" s="14"/>
      <c r="EZI2" s="14"/>
      <c r="EZJ2" s="14"/>
      <c r="EZK2" s="14"/>
      <c r="EZL2" s="14"/>
      <c r="EZM2" s="14"/>
      <c r="EZN2" s="14"/>
      <c r="EZO2" s="14"/>
      <c r="EZP2" s="14"/>
      <c r="EZQ2" s="14"/>
      <c r="EZR2" s="14"/>
      <c r="EZS2" s="14"/>
      <c r="EZT2" s="14"/>
      <c r="EZU2" s="14"/>
      <c r="EZV2" s="14"/>
      <c r="EZW2" s="14"/>
      <c r="EZX2" s="14"/>
      <c r="EZY2" s="14"/>
      <c r="EZZ2" s="14"/>
      <c r="FAA2" s="14"/>
      <c r="FAB2" s="14"/>
      <c r="FAC2" s="14"/>
      <c r="FAD2" s="14"/>
      <c r="FAE2" s="14"/>
      <c r="FAF2" s="14"/>
      <c r="FAG2" s="14"/>
      <c r="FAH2" s="14"/>
      <c r="FAI2" s="14"/>
      <c r="FAJ2" s="14"/>
      <c r="FAK2" s="14"/>
      <c r="FAL2" s="14"/>
      <c r="FAM2" s="14"/>
      <c r="FAN2" s="14"/>
      <c r="FAO2" s="14"/>
      <c r="FAP2" s="14"/>
      <c r="FAQ2" s="14"/>
      <c r="FAR2" s="14"/>
      <c r="FAS2" s="14"/>
      <c r="FAT2" s="14"/>
      <c r="FAU2" s="14"/>
      <c r="FAV2" s="14"/>
      <c r="FAW2" s="14"/>
      <c r="FAX2" s="14"/>
      <c r="FAY2" s="14"/>
      <c r="FAZ2" s="14"/>
      <c r="FBA2" s="14"/>
      <c r="FBB2" s="14"/>
      <c r="FBC2" s="14"/>
      <c r="FBD2" s="14"/>
      <c r="FBE2" s="14"/>
      <c r="FBF2" s="14"/>
      <c r="FBG2" s="14"/>
      <c r="FBH2" s="14"/>
      <c r="FBI2" s="14"/>
      <c r="FBJ2" s="14"/>
      <c r="FBK2" s="14"/>
      <c r="FBL2" s="14"/>
      <c r="FBM2" s="14"/>
      <c r="FBN2" s="14"/>
      <c r="FBO2" s="14"/>
      <c r="FBP2" s="14"/>
      <c r="FBQ2" s="14"/>
      <c r="FBR2" s="14"/>
      <c r="FBS2" s="14"/>
      <c r="FBT2" s="14"/>
      <c r="FBU2" s="14"/>
      <c r="FBV2" s="14"/>
      <c r="FBW2" s="14"/>
      <c r="FBX2" s="14"/>
      <c r="FBY2" s="14"/>
      <c r="FBZ2" s="14"/>
      <c r="FCA2" s="14"/>
      <c r="FCB2" s="14"/>
      <c r="FCC2" s="14"/>
      <c r="FCD2" s="14"/>
      <c r="FCE2" s="14"/>
      <c r="FCF2" s="14"/>
      <c r="FCG2" s="14"/>
      <c r="FCH2" s="14"/>
      <c r="FCI2" s="14"/>
      <c r="FCJ2" s="14"/>
      <c r="FCK2" s="14"/>
      <c r="FCL2" s="14"/>
      <c r="FCM2" s="14"/>
      <c r="FCN2" s="14"/>
      <c r="FCO2" s="14"/>
      <c r="FCP2" s="14"/>
      <c r="FCQ2" s="14"/>
      <c r="FCR2" s="14"/>
      <c r="FCS2" s="14"/>
      <c r="FCT2" s="14"/>
      <c r="FCU2" s="14"/>
      <c r="FCV2" s="14"/>
      <c r="FCW2" s="14"/>
      <c r="FCX2" s="14"/>
      <c r="FCY2" s="14"/>
      <c r="FCZ2" s="14"/>
      <c r="FDA2" s="14"/>
      <c r="FDB2" s="14"/>
      <c r="FDC2" s="14"/>
      <c r="FDD2" s="14"/>
      <c r="FDE2" s="14"/>
      <c r="FDF2" s="14"/>
      <c r="FDG2" s="14"/>
      <c r="FDH2" s="14"/>
      <c r="FDI2" s="14"/>
      <c r="FDJ2" s="14"/>
      <c r="FDK2" s="14"/>
      <c r="FDL2" s="14"/>
      <c r="FDM2" s="14"/>
      <c r="FDN2" s="14"/>
      <c r="FDO2" s="14"/>
      <c r="FDP2" s="14"/>
      <c r="FDQ2" s="14"/>
      <c r="FDR2" s="14"/>
      <c r="FDS2" s="14"/>
      <c r="FDT2" s="14"/>
      <c r="FDU2" s="14"/>
      <c r="FDV2" s="14"/>
      <c r="FDW2" s="14"/>
      <c r="FDX2" s="14"/>
      <c r="FDY2" s="14"/>
      <c r="FDZ2" s="14"/>
      <c r="FEA2" s="14"/>
      <c r="FEB2" s="14"/>
      <c r="FEC2" s="14"/>
      <c r="FED2" s="14"/>
      <c r="FEE2" s="14"/>
      <c r="FEF2" s="14"/>
      <c r="FEG2" s="14"/>
      <c r="FEH2" s="14"/>
      <c r="FEI2" s="14"/>
      <c r="FEJ2" s="14"/>
      <c r="FEK2" s="14"/>
      <c r="FEL2" s="14"/>
      <c r="FEM2" s="14"/>
      <c r="FEN2" s="14"/>
      <c r="FEO2" s="14"/>
      <c r="FEP2" s="14"/>
      <c r="FEQ2" s="14"/>
      <c r="FER2" s="14"/>
      <c r="FES2" s="14"/>
      <c r="FET2" s="14"/>
      <c r="FEU2" s="14"/>
      <c r="FEV2" s="14"/>
      <c r="FEW2" s="14"/>
      <c r="FEX2" s="14"/>
      <c r="FEY2" s="14"/>
      <c r="FEZ2" s="14"/>
      <c r="FFA2" s="14"/>
      <c r="FFB2" s="14"/>
      <c r="FFC2" s="14"/>
      <c r="FFD2" s="14"/>
      <c r="FFE2" s="14"/>
      <c r="FFF2" s="14"/>
      <c r="FFG2" s="14"/>
      <c r="FFH2" s="14"/>
      <c r="FFI2" s="14"/>
      <c r="FFJ2" s="14"/>
      <c r="FFK2" s="14"/>
      <c r="FFL2" s="14"/>
      <c r="FFM2" s="14"/>
      <c r="FFN2" s="14"/>
      <c r="FFO2" s="14"/>
      <c r="FFP2" s="14"/>
      <c r="FFQ2" s="14"/>
      <c r="FFR2" s="14"/>
      <c r="FFS2" s="14"/>
      <c r="FFT2" s="14"/>
      <c r="FFU2" s="14"/>
      <c r="FFV2" s="14"/>
      <c r="FFW2" s="14"/>
      <c r="FFX2" s="14"/>
      <c r="FFY2" s="14"/>
      <c r="FFZ2" s="14"/>
      <c r="FGA2" s="14"/>
      <c r="FGB2" s="14"/>
      <c r="FGC2" s="14"/>
      <c r="FGD2" s="14"/>
      <c r="FGE2" s="14"/>
      <c r="FGF2" s="14"/>
      <c r="FGG2" s="14"/>
      <c r="FGH2" s="14"/>
      <c r="FGI2" s="14"/>
      <c r="FGJ2" s="14"/>
      <c r="FGK2" s="14"/>
      <c r="FGL2" s="14"/>
      <c r="FGM2" s="14"/>
      <c r="FGN2" s="14"/>
      <c r="FGO2" s="14"/>
      <c r="FGP2" s="14"/>
      <c r="FGQ2" s="14"/>
      <c r="FGR2" s="14"/>
      <c r="FGS2" s="14"/>
      <c r="FGT2" s="14"/>
      <c r="FGU2" s="14"/>
      <c r="FGV2" s="14"/>
      <c r="FGW2" s="14"/>
      <c r="FGX2" s="14"/>
      <c r="FGY2" s="14"/>
      <c r="FGZ2" s="14"/>
      <c r="FHA2" s="14"/>
      <c r="FHB2" s="14"/>
      <c r="FHC2" s="14"/>
      <c r="FHD2" s="14"/>
      <c r="FHE2" s="14"/>
      <c r="FHF2" s="14"/>
      <c r="FHG2" s="14"/>
      <c r="FHH2" s="14"/>
      <c r="FHI2" s="14"/>
      <c r="FHJ2" s="14"/>
      <c r="FHK2" s="14"/>
      <c r="FHL2" s="14"/>
      <c r="FHM2" s="14"/>
      <c r="FHN2" s="14"/>
      <c r="FHO2" s="14"/>
      <c r="FHP2" s="14"/>
      <c r="FHQ2" s="14"/>
      <c r="FHR2" s="14"/>
      <c r="FHS2" s="14"/>
      <c r="FHT2" s="14"/>
      <c r="FHU2" s="14"/>
      <c r="FHV2" s="14"/>
      <c r="FHW2" s="14"/>
      <c r="FHX2" s="14"/>
      <c r="FHY2" s="14"/>
      <c r="FHZ2" s="14"/>
      <c r="FIA2" s="14"/>
      <c r="FIB2" s="14"/>
      <c r="FIC2" s="14"/>
      <c r="FID2" s="14"/>
      <c r="FIE2" s="14"/>
      <c r="FIF2" s="14"/>
      <c r="FIG2" s="14"/>
      <c r="FIH2" s="14"/>
      <c r="FII2" s="14"/>
      <c r="FIJ2" s="14"/>
      <c r="FIK2" s="14"/>
      <c r="FIL2" s="14"/>
      <c r="FIM2" s="14"/>
      <c r="FIN2" s="14"/>
      <c r="FIO2" s="14"/>
      <c r="FIP2" s="14"/>
      <c r="FIQ2" s="14"/>
      <c r="FIR2" s="14"/>
      <c r="FIS2" s="14"/>
      <c r="FIT2" s="14"/>
      <c r="FIU2" s="14"/>
      <c r="FIV2" s="14"/>
      <c r="FIW2" s="14"/>
      <c r="FIX2" s="14"/>
      <c r="FIY2" s="14"/>
      <c r="FIZ2" s="14"/>
      <c r="FJA2" s="14"/>
      <c r="FJB2" s="14"/>
      <c r="FJC2" s="14"/>
      <c r="FJD2" s="14"/>
      <c r="FJE2" s="14"/>
      <c r="FJF2" s="14"/>
      <c r="FJG2" s="14"/>
      <c r="FJH2" s="14"/>
      <c r="FJI2" s="14"/>
      <c r="FJJ2" s="14"/>
      <c r="FJK2" s="14"/>
      <c r="FJL2" s="14"/>
      <c r="FJM2" s="14"/>
      <c r="FJN2" s="14"/>
      <c r="FJO2" s="14"/>
      <c r="FJP2" s="14"/>
      <c r="FJQ2" s="14"/>
      <c r="FJR2" s="14"/>
      <c r="FJS2" s="14"/>
      <c r="FJT2" s="14"/>
      <c r="FJU2" s="14"/>
      <c r="FJV2" s="14"/>
      <c r="FJW2" s="14"/>
      <c r="FJX2" s="14"/>
      <c r="FJY2" s="14"/>
      <c r="FJZ2" s="14"/>
      <c r="FKA2" s="14"/>
      <c r="FKB2" s="14"/>
      <c r="FKC2" s="14"/>
      <c r="FKD2" s="14"/>
      <c r="FKE2" s="14"/>
      <c r="FKF2" s="14"/>
      <c r="FKG2" s="14"/>
      <c r="FKH2" s="14"/>
      <c r="FKI2" s="14"/>
      <c r="FKJ2" s="14"/>
      <c r="FKK2" s="14"/>
      <c r="FKL2" s="14"/>
      <c r="FKM2" s="14"/>
      <c r="FKN2" s="14"/>
      <c r="FKO2" s="14"/>
      <c r="FKP2" s="14"/>
      <c r="FKQ2" s="14"/>
      <c r="FKR2" s="14"/>
      <c r="FKS2" s="14"/>
      <c r="FKT2" s="14"/>
      <c r="FKU2" s="14"/>
      <c r="FKV2" s="14"/>
      <c r="FKW2" s="14"/>
      <c r="FKX2" s="14"/>
      <c r="FKY2" s="14"/>
      <c r="FKZ2" s="14"/>
      <c r="FLA2" s="14"/>
      <c r="FLB2" s="14"/>
      <c r="FLC2" s="14"/>
      <c r="FLD2" s="14"/>
      <c r="FLE2" s="14"/>
      <c r="FLF2" s="14"/>
      <c r="FLG2" s="14"/>
      <c r="FLH2" s="14"/>
      <c r="FLI2" s="14"/>
      <c r="FLJ2" s="14"/>
      <c r="FLK2" s="14"/>
      <c r="FLL2" s="14"/>
      <c r="FLM2" s="14"/>
      <c r="FLN2" s="14"/>
      <c r="FLO2" s="14"/>
      <c r="FLP2" s="14"/>
      <c r="FLQ2" s="14"/>
      <c r="FLR2" s="14"/>
      <c r="FLS2" s="14"/>
      <c r="FLT2" s="14"/>
      <c r="FLU2" s="14"/>
      <c r="FLV2" s="14"/>
      <c r="FLW2" s="14"/>
      <c r="FLX2" s="14"/>
      <c r="FLY2" s="14"/>
      <c r="FLZ2" s="14"/>
      <c r="FMA2" s="14"/>
      <c r="FMB2" s="14"/>
      <c r="FMC2" s="14"/>
      <c r="FMD2" s="14"/>
      <c r="FME2" s="14"/>
      <c r="FMF2" s="14"/>
      <c r="FMG2" s="14"/>
      <c r="FMH2" s="14"/>
      <c r="FMI2" s="14"/>
      <c r="FMJ2" s="14"/>
      <c r="FMK2" s="14"/>
      <c r="FML2" s="14"/>
      <c r="FMM2" s="14"/>
      <c r="FMN2" s="14"/>
      <c r="FMO2" s="14"/>
      <c r="FMP2" s="14"/>
      <c r="FMQ2" s="14"/>
      <c r="FMR2" s="14"/>
      <c r="FMS2" s="14"/>
      <c r="FMT2" s="14"/>
      <c r="FMU2" s="14"/>
      <c r="FMV2" s="14"/>
      <c r="FMW2" s="14"/>
      <c r="FMX2" s="14"/>
      <c r="FMY2" s="14"/>
      <c r="FMZ2" s="14"/>
      <c r="FNA2" s="14"/>
      <c r="FNB2" s="14"/>
      <c r="FNC2" s="14"/>
      <c r="FND2" s="14"/>
      <c r="FNE2" s="14"/>
      <c r="FNF2" s="14"/>
      <c r="FNG2" s="14"/>
      <c r="FNH2" s="14"/>
      <c r="FNI2" s="14"/>
      <c r="FNJ2" s="14"/>
      <c r="FNK2" s="14"/>
      <c r="FNL2" s="14"/>
      <c r="FNM2" s="14"/>
      <c r="FNN2" s="14"/>
      <c r="FNO2" s="14"/>
      <c r="FNP2" s="14"/>
      <c r="FNQ2" s="14"/>
      <c r="FNR2" s="14"/>
      <c r="FNS2" s="14"/>
      <c r="FNT2" s="14"/>
      <c r="FNU2" s="14"/>
      <c r="FNV2" s="14"/>
      <c r="FNW2" s="14"/>
      <c r="FNX2" s="14"/>
      <c r="FNY2" s="14"/>
      <c r="FNZ2" s="14"/>
      <c r="FOA2" s="14"/>
      <c r="FOB2" s="14"/>
      <c r="FOC2" s="14"/>
      <c r="FOD2" s="14"/>
      <c r="FOE2" s="14"/>
      <c r="FOF2" s="14"/>
      <c r="FOG2" s="14"/>
      <c r="FOH2" s="14"/>
      <c r="FOI2" s="14"/>
      <c r="FOJ2" s="14"/>
      <c r="FOK2" s="14"/>
      <c r="FOL2" s="14"/>
      <c r="FOM2" s="14"/>
      <c r="FON2" s="14"/>
      <c r="FOO2" s="14"/>
      <c r="FOP2" s="14"/>
      <c r="FOQ2" s="14"/>
      <c r="FOR2" s="14"/>
      <c r="FOS2" s="14"/>
      <c r="FOT2" s="14"/>
      <c r="FOU2" s="14"/>
      <c r="FOV2" s="14"/>
      <c r="FOW2" s="14"/>
      <c r="FOX2" s="14"/>
      <c r="FOY2" s="14"/>
      <c r="FOZ2" s="14"/>
      <c r="FPA2" s="14"/>
      <c r="FPB2" s="14"/>
      <c r="FPC2" s="14"/>
      <c r="FPD2" s="14"/>
      <c r="FPE2" s="14"/>
      <c r="FPF2" s="14"/>
      <c r="FPG2" s="14"/>
      <c r="FPH2" s="14"/>
      <c r="FPI2" s="14"/>
      <c r="FPJ2" s="14"/>
      <c r="FPK2" s="14"/>
      <c r="FPL2" s="14"/>
      <c r="FPM2" s="14"/>
      <c r="FPN2" s="14"/>
      <c r="FPO2" s="14"/>
      <c r="FPP2" s="14"/>
      <c r="FPQ2" s="14"/>
      <c r="FPR2" s="14"/>
      <c r="FPS2" s="14"/>
      <c r="FPT2" s="14"/>
      <c r="FPU2" s="14"/>
      <c r="FPV2" s="14"/>
      <c r="FPW2" s="14"/>
      <c r="FPX2" s="14"/>
      <c r="FPY2" s="14"/>
      <c r="FPZ2" s="14"/>
      <c r="FQA2" s="14"/>
      <c r="FQB2" s="14"/>
      <c r="FQC2" s="14"/>
      <c r="FQD2" s="14"/>
      <c r="FQE2" s="14"/>
      <c r="FQF2" s="14"/>
      <c r="FQG2" s="14"/>
      <c r="FQH2" s="14"/>
      <c r="FQI2" s="14"/>
      <c r="FQJ2" s="14"/>
      <c r="FQK2" s="14"/>
      <c r="FQL2" s="14"/>
      <c r="FQM2" s="14"/>
      <c r="FQN2" s="14"/>
      <c r="FQO2" s="14"/>
      <c r="FQP2" s="14"/>
      <c r="FQQ2" s="14"/>
      <c r="FQR2" s="14"/>
      <c r="FQS2" s="14"/>
      <c r="FQT2" s="14"/>
      <c r="FQU2" s="14"/>
      <c r="FQV2" s="14"/>
      <c r="FQW2" s="14"/>
      <c r="FQX2" s="14"/>
      <c r="FQY2" s="14"/>
      <c r="FQZ2" s="14"/>
      <c r="FRA2" s="14"/>
      <c r="FRB2" s="14"/>
      <c r="FRC2" s="14"/>
      <c r="FRD2" s="14"/>
      <c r="FRE2" s="14"/>
      <c r="FRF2" s="14"/>
      <c r="FRG2" s="14"/>
      <c r="FRH2" s="14"/>
      <c r="FRI2" s="14"/>
      <c r="FRJ2" s="14"/>
      <c r="FRK2" s="14"/>
      <c r="FRL2" s="14"/>
      <c r="FRM2" s="14"/>
      <c r="FRN2" s="14"/>
      <c r="FRO2" s="14"/>
      <c r="FRP2" s="14"/>
      <c r="FRQ2" s="14"/>
      <c r="FRR2" s="14"/>
      <c r="FRS2" s="14"/>
      <c r="FRT2" s="14"/>
      <c r="FRU2" s="14"/>
      <c r="FRV2" s="14"/>
      <c r="FRW2" s="14"/>
      <c r="FRX2" s="14"/>
      <c r="FRY2" s="14"/>
      <c r="FRZ2" s="14"/>
      <c r="FSA2" s="14"/>
      <c r="FSB2" s="14"/>
      <c r="FSC2" s="14"/>
      <c r="FSD2" s="14"/>
      <c r="FSE2" s="14"/>
      <c r="FSF2" s="14"/>
      <c r="FSG2" s="14"/>
      <c r="FSH2" s="14"/>
      <c r="FSI2" s="14"/>
      <c r="FSJ2" s="14"/>
      <c r="FSK2" s="14"/>
      <c r="FSL2" s="14"/>
      <c r="FSM2" s="14"/>
      <c r="FSN2" s="14"/>
      <c r="FSO2" s="14"/>
      <c r="FSP2" s="14"/>
      <c r="FSQ2" s="14"/>
      <c r="FSR2" s="14"/>
      <c r="FSS2" s="14"/>
      <c r="FST2" s="14"/>
      <c r="FSU2" s="14"/>
      <c r="FSV2" s="14"/>
      <c r="FSW2" s="14"/>
      <c r="FSX2" s="14"/>
      <c r="FSY2" s="14"/>
      <c r="FSZ2" s="14"/>
      <c r="FTA2" s="14"/>
      <c r="FTB2" s="14"/>
      <c r="FTC2" s="14"/>
      <c r="FTD2" s="14"/>
      <c r="FTE2" s="14"/>
      <c r="FTF2" s="14"/>
      <c r="FTG2" s="14"/>
      <c r="FTH2" s="14"/>
      <c r="FTI2" s="14"/>
      <c r="FTJ2" s="14"/>
      <c r="FTK2" s="14"/>
      <c r="FTL2" s="14"/>
      <c r="FTM2" s="14"/>
      <c r="FTN2" s="14"/>
      <c r="FTO2" s="14"/>
      <c r="FTP2" s="14"/>
      <c r="FTQ2" s="14"/>
      <c r="FTR2" s="14"/>
      <c r="FTS2" s="14"/>
      <c r="FTT2" s="14"/>
      <c r="FTU2" s="14"/>
      <c r="FTV2" s="14"/>
      <c r="FTW2" s="14"/>
      <c r="FTX2" s="14"/>
      <c r="FTY2" s="14"/>
      <c r="FTZ2" s="14"/>
      <c r="FUA2" s="14"/>
      <c r="FUB2" s="14"/>
      <c r="FUC2" s="14"/>
      <c r="FUD2" s="14"/>
      <c r="FUE2" s="14"/>
      <c r="FUF2" s="14"/>
      <c r="FUG2" s="14"/>
      <c r="FUH2" s="14"/>
      <c r="FUI2" s="14"/>
      <c r="FUJ2" s="14"/>
      <c r="FUK2" s="14"/>
      <c r="FUL2" s="14"/>
      <c r="FUM2" s="14"/>
      <c r="FUN2" s="14"/>
      <c r="FUO2" s="14"/>
      <c r="FUP2" s="14"/>
      <c r="FUQ2" s="14"/>
      <c r="FUR2" s="14"/>
      <c r="FUS2" s="14"/>
      <c r="FUT2" s="14"/>
      <c r="FUU2" s="14"/>
      <c r="FUV2" s="14"/>
      <c r="FUW2" s="14"/>
      <c r="FUX2" s="14"/>
      <c r="FUY2" s="14"/>
      <c r="FUZ2" s="14"/>
      <c r="FVA2" s="14"/>
      <c r="FVB2" s="14"/>
      <c r="FVC2" s="14"/>
      <c r="FVD2" s="14"/>
      <c r="FVE2" s="14"/>
      <c r="FVF2" s="14"/>
      <c r="FVG2" s="14"/>
      <c r="FVH2" s="14"/>
      <c r="FVI2" s="14"/>
      <c r="FVJ2" s="14"/>
      <c r="FVK2" s="14"/>
      <c r="FVL2" s="14"/>
      <c r="FVM2" s="14"/>
      <c r="FVN2" s="14"/>
      <c r="FVO2" s="14"/>
      <c r="FVP2" s="14"/>
      <c r="FVQ2" s="14"/>
      <c r="FVR2" s="14"/>
      <c r="FVS2" s="14"/>
      <c r="FVT2" s="14"/>
      <c r="FVU2" s="14"/>
      <c r="FVV2" s="14"/>
      <c r="FVW2" s="14"/>
      <c r="FVX2" s="14"/>
      <c r="FVY2" s="14"/>
      <c r="FVZ2" s="14"/>
      <c r="FWA2" s="14"/>
      <c r="FWB2" s="14"/>
      <c r="FWC2" s="14"/>
      <c r="FWD2" s="14"/>
      <c r="FWE2" s="14"/>
      <c r="FWF2" s="14"/>
      <c r="FWG2" s="14"/>
      <c r="FWH2" s="14"/>
      <c r="FWI2" s="14"/>
      <c r="FWJ2" s="14"/>
      <c r="FWK2" s="14"/>
      <c r="FWL2" s="14"/>
      <c r="FWM2" s="14"/>
      <c r="FWN2" s="14"/>
      <c r="FWO2" s="14"/>
      <c r="FWP2" s="14"/>
      <c r="FWQ2" s="14"/>
      <c r="FWR2" s="14"/>
      <c r="FWS2" s="14"/>
      <c r="FWT2" s="14"/>
      <c r="FWU2" s="14"/>
      <c r="FWV2" s="14"/>
      <c r="FWW2" s="14"/>
      <c r="FWX2" s="14"/>
      <c r="FWY2" s="14"/>
      <c r="FWZ2" s="14"/>
      <c r="FXA2" s="14"/>
      <c r="FXB2" s="14"/>
      <c r="FXC2" s="14"/>
      <c r="FXD2" s="14"/>
      <c r="FXE2" s="14"/>
      <c r="FXF2" s="14"/>
      <c r="FXG2" s="14"/>
      <c r="FXH2" s="14"/>
      <c r="FXI2" s="14"/>
      <c r="FXJ2" s="14"/>
      <c r="FXK2" s="14"/>
      <c r="FXL2" s="14"/>
      <c r="FXM2" s="14"/>
      <c r="FXN2" s="14"/>
      <c r="FXO2" s="14"/>
      <c r="FXP2" s="14"/>
      <c r="FXQ2" s="14"/>
      <c r="FXR2" s="14"/>
      <c r="FXS2" s="14"/>
      <c r="FXT2" s="14"/>
      <c r="FXU2" s="14"/>
      <c r="FXV2" s="14"/>
      <c r="FXW2" s="14"/>
      <c r="FXX2" s="14"/>
      <c r="FXY2" s="14"/>
      <c r="FXZ2" s="14"/>
      <c r="FYA2" s="14"/>
      <c r="FYB2" s="14"/>
      <c r="FYC2" s="14"/>
      <c r="FYD2" s="14"/>
      <c r="FYE2" s="14"/>
      <c r="FYF2" s="14"/>
      <c r="FYG2" s="14"/>
      <c r="FYH2" s="14"/>
      <c r="FYI2" s="14"/>
      <c r="FYJ2" s="14"/>
      <c r="FYK2" s="14"/>
      <c r="FYL2" s="14"/>
      <c r="FYM2" s="14"/>
      <c r="FYN2" s="14"/>
      <c r="FYO2" s="14"/>
      <c r="FYP2" s="14"/>
      <c r="FYQ2" s="14"/>
      <c r="FYR2" s="14"/>
      <c r="FYS2" s="14"/>
      <c r="FYT2" s="14"/>
      <c r="FYU2" s="14"/>
      <c r="FYV2" s="14"/>
      <c r="FYW2" s="14"/>
      <c r="FYX2" s="14"/>
      <c r="FYY2" s="14"/>
      <c r="FYZ2" s="14"/>
      <c r="FZA2" s="14"/>
      <c r="FZB2" s="14"/>
      <c r="FZC2" s="14"/>
      <c r="FZD2" s="14"/>
      <c r="FZE2" s="14"/>
      <c r="FZF2" s="14"/>
      <c r="FZG2" s="14"/>
      <c r="FZH2" s="14"/>
      <c r="FZI2" s="14"/>
      <c r="FZJ2" s="14"/>
      <c r="FZK2" s="14"/>
      <c r="FZL2" s="14"/>
      <c r="FZM2" s="14"/>
      <c r="FZN2" s="14"/>
      <c r="FZO2" s="14"/>
      <c r="FZP2" s="14"/>
      <c r="FZQ2" s="14"/>
      <c r="FZR2" s="14"/>
      <c r="FZS2" s="14"/>
      <c r="FZT2" s="14"/>
      <c r="FZU2" s="14"/>
      <c r="FZV2" s="14"/>
      <c r="FZW2" s="14"/>
      <c r="FZX2" s="14"/>
      <c r="FZY2" s="14"/>
      <c r="FZZ2" s="14"/>
      <c r="GAA2" s="14"/>
      <c r="GAB2" s="14"/>
      <c r="GAC2" s="14"/>
      <c r="GAD2" s="14"/>
      <c r="GAE2" s="14"/>
      <c r="GAF2" s="14"/>
      <c r="GAG2" s="14"/>
      <c r="GAH2" s="14"/>
      <c r="GAI2" s="14"/>
      <c r="GAJ2" s="14"/>
      <c r="GAK2" s="14"/>
      <c r="GAL2" s="14"/>
      <c r="GAM2" s="14"/>
      <c r="GAN2" s="14"/>
      <c r="GAO2" s="14"/>
      <c r="GAP2" s="14"/>
      <c r="GAQ2" s="14"/>
      <c r="GAR2" s="14"/>
      <c r="GAS2" s="14"/>
      <c r="GAT2" s="14"/>
      <c r="GAU2" s="14"/>
      <c r="GAV2" s="14"/>
      <c r="GAW2" s="14"/>
      <c r="GAX2" s="14"/>
      <c r="GAY2" s="14"/>
      <c r="GAZ2" s="14"/>
      <c r="GBA2" s="14"/>
      <c r="GBB2" s="14"/>
      <c r="GBC2" s="14"/>
      <c r="GBD2" s="14"/>
      <c r="GBE2" s="14"/>
      <c r="GBF2" s="14"/>
      <c r="GBG2" s="14"/>
      <c r="GBH2" s="14"/>
      <c r="GBI2" s="14"/>
      <c r="GBJ2" s="14"/>
      <c r="GBK2" s="14"/>
      <c r="GBL2" s="14"/>
      <c r="GBM2" s="14"/>
      <c r="GBN2" s="14"/>
      <c r="GBO2" s="14"/>
      <c r="GBP2" s="14"/>
      <c r="GBQ2" s="14"/>
      <c r="GBR2" s="14"/>
      <c r="GBS2" s="14"/>
      <c r="GBT2" s="14"/>
      <c r="GBU2" s="14"/>
      <c r="GBV2" s="14"/>
      <c r="GBW2" s="14"/>
      <c r="GBX2" s="14"/>
      <c r="GBY2" s="14"/>
      <c r="GBZ2" s="14"/>
      <c r="GCA2" s="14"/>
      <c r="GCB2" s="14"/>
      <c r="GCC2" s="14"/>
      <c r="GCD2" s="14"/>
      <c r="GCE2" s="14"/>
      <c r="GCF2" s="14"/>
      <c r="GCG2" s="14"/>
      <c r="GCH2" s="14"/>
      <c r="GCI2" s="14"/>
      <c r="GCJ2" s="14"/>
      <c r="GCK2" s="14"/>
      <c r="GCL2" s="14"/>
      <c r="GCM2" s="14"/>
      <c r="GCN2" s="14"/>
      <c r="GCO2" s="14"/>
      <c r="GCP2" s="14"/>
      <c r="GCQ2" s="14"/>
      <c r="GCR2" s="14"/>
      <c r="GCS2" s="14"/>
      <c r="GCT2" s="14"/>
      <c r="GCU2" s="14"/>
      <c r="GCV2" s="14"/>
      <c r="GCW2" s="14"/>
      <c r="GCX2" s="14"/>
      <c r="GCY2" s="14"/>
      <c r="GCZ2" s="14"/>
      <c r="GDA2" s="14"/>
      <c r="GDB2" s="14"/>
      <c r="GDC2" s="14"/>
      <c r="GDD2" s="14"/>
      <c r="GDE2" s="14"/>
      <c r="GDF2" s="14"/>
      <c r="GDG2" s="14"/>
      <c r="GDH2" s="14"/>
      <c r="GDI2" s="14"/>
      <c r="GDJ2" s="14"/>
      <c r="GDK2" s="14"/>
      <c r="GDL2" s="14"/>
      <c r="GDM2" s="14"/>
      <c r="GDN2" s="14"/>
      <c r="GDO2" s="14"/>
      <c r="GDP2" s="14"/>
      <c r="GDQ2" s="14"/>
      <c r="GDR2" s="14"/>
      <c r="GDS2" s="14"/>
      <c r="GDT2" s="14"/>
      <c r="GDU2" s="14"/>
      <c r="GDV2" s="14"/>
      <c r="GDW2" s="14"/>
      <c r="GDX2" s="14"/>
      <c r="GDY2" s="14"/>
      <c r="GDZ2" s="14"/>
      <c r="GEA2" s="14"/>
      <c r="GEB2" s="14"/>
      <c r="GEC2" s="14"/>
      <c r="GED2" s="14"/>
      <c r="GEE2" s="14"/>
      <c r="GEF2" s="14"/>
      <c r="GEG2" s="14"/>
      <c r="GEH2" s="14"/>
      <c r="GEI2" s="14"/>
      <c r="GEJ2" s="14"/>
      <c r="GEK2" s="14"/>
      <c r="GEL2" s="14"/>
      <c r="GEM2" s="14"/>
      <c r="GEN2" s="14"/>
      <c r="GEO2" s="14"/>
      <c r="GEP2" s="14"/>
      <c r="GEQ2" s="14"/>
      <c r="GER2" s="14"/>
      <c r="GES2" s="14"/>
      <c r="GET2" s="14"/>
      <c r="GEU2" s="14"/>
      <c r="GEV2" s="14"/>
      <c r="GEW2" s="14"/>
      <c r="GEX2" s="14"/>
      <c r="GEY2" s="14"/>
      <c r="GEZ2" s="14"/>
      <c r="GFA2" s="14"/>
      <c r="GFB2" s="14"/>
      <c r="GFC2" s="14"/>
      <c r="GFD2" s="14"/>
      <c r="GFE2" s="14"/>
      <c r="GFF2" s="14"/>
      <c r="GFG2" s="14"/>
      <c r="GFH2" s="14"/>
      <c r="GFI2" s="14"/>
      <c r="GFJ2" s="14"/>
      <c r="GFK2" s="14"/>
      <c r="GFL2" s="14"/>
      <c r="GFM2" s="14"/>
      <c r="GFN2" s="14"/>
      <c r="GFO2" s="14"/>
      <c r="GFP2" s="14"/>
      <c r="GFQ2" s="14"/>
      <c r="GFR2" s="14"/>
      <c r="GFS2" s="14"/>
      <c r="GFT2" s="14"/>
      <c r="GFU2" s="14"/>
      <c r="GFV2" s="14"/>
      <c r="GFW2" s="14"/>
      <c r="GFX2" s="14"/>
      <c r="GFY2" s="14"/>
      <c r="GFZ2" s="14"/>
      <c r="GGA2" s="14"/>
      <c r="GGB2" s="14"/>
      <c r="GGC2" s="14"/>
      <c r="GGD2" s="14"/>
      <c r="GGE2" s="14"/>
      <c r="GGF2" s="14"/>
      <c r="GGG2" s="14"/>
      <c r="GGH2" s="14"/>
      <c r="GGI2" s="14"/>
      <c r="GGJ2" s="14"/>
      <c r="GGK2" s="14"/>
      <c r="GGL2" s="14"/>
      <c r="GGM2" s="14"/>
      <c r="GGN2" s="14"/>
      <c r="GGO2" s="14"/>
      <c r="GGP2" s="14"/>
      <c r="GGQ2" s="14"/>
      <c r="GGR2" s="14"/>
      <c r="GGS2" s="14"/>
      <c r="GGT2" s="14"/>
      <c r="GGU2" s="14"/>
      <c r="GGV2" s="14"/>
      <c r="GGW2" s="14"/>
      <c r="GGX2" s="14"/>
      <c r="GGY2" s="14"/>
      <c r="GGZ2" s="14"/>
      <c r="GHA2" s="14"/>
      <c r="GHB2" s="14"/>
      <c r="GHC2" s="14"/>
      <c r="GHD2" s="14"/>
      <c r="GHE2" s="14"/>
      <c r="GHF2" s="14"/>
      <c r="GHG2" s="14"/>
      <c r="GHH2" s="14"/>
      <c r="GHI2" s="14"/>
      <c r="GHJ2" s="14"/>
      <c r="GHK2" s="14"/>
      <c r="GHL2" s="14"/>
      <c r="GHM2" s="14"/>
      <c r="GHN2" s="14"/>
      <c r="GHO2" s="14"/>
      <c r="GHP2" s="14"/>
      <c r="GHQ2" s="14"/>
      <c r="GHR2" s="14"/>
      <c r="GHS2" s="14"/>
      <c r="GHT2" s="14"/>
      <c r="GHU2" s="14"/>
      <c r="GHV2" s="14"/>
      <c r="GHW2" s="14"/>
      <c r="GHX2" s="14"/>
      <c r="GHY2" s="14"/>
      <c r="GHZ2" s="14"/>
      <c r="GIA2" s="14"/>
      <c r="GIB2" s="14"/>
      <c r="GIC2" s="14"/>
      <c r="GID2" s="14"/>
      <c r="GIE2" s="14"/>
      <c r="GIF2" s="14"/>
      <c r="GIG2" s="14"/>
      <c r="GIH2" s="14"/>
      <c r="GII2" s="14"/>
      <c r="GIJ2" s="14"/>
      <c r="GIK2" s="14"/>
      <c r="GIL2" s="14"/>
      <c r="GIM2" s="14"/>
      <c r="GIN2" s="14"/>
      <c r="GIO2" s="14"/>
      <c r="GIP2" s="14"/>
      <c r="GIQ2" s="14"/>
      <c r="GIR2" s="14"/>
      <c r="GIS2" s="14"/>
      <c r="GIT2" s="14"/>
      <c r="GIU2" s="14"/>
      <c r="GIV2" s="14"/>
      <c r="GIW2" s="14"/>
      <c r="GIX2" s="14"/>
      <c r="GIY2" s="14"/>
      <c r="GIZ2" s="14"/>
      <c r="GJA2" s="14"/>
      <c r="GJB2" s="14"/>
      <c r="GJC2" s="14"/>
      <c r="GJD2" s="14"/>
      <c r="GJE2" s="14"/>
      <c r="GJF2" s="14"/>
      <c r="GJG2" s="14"/>
      <c r="GJH2" s="14"/>
      <c r="GJI2" s="14"/>
      <c r="GJJ2" s="14"/>
      <c r="GJK2" s="14"/>
      <c r="GJL2" s="14"/>
      <c r="GJM2" s="14"/>
      <c r="GJN2" s="14"/>
      <c r="GJO2" s="14"/>
      <c r="GJP2" s="14"/>
      <c r="GJQ2" s="14"/>
      <c r="GJR2" s="14"/>
      <c r="GJS2" s="14"/>
      <c r="GJT2" s="14"/>
      <c r="GJU2" s="14"/>
      <c r="GJV2" s="14"/>
      <c r="GJW2" s="14"/>
      <c r="GJX2" s="14"/>
      <c r="GJY2" s="14"/>
      <c r="GJZ2" s="14"/>
      <c r="GKA2" s="14"/>
      <c r="GKB2" s="14"/>
      <c r="GKC2" s="14"/>
      <c r="GKD2" s="14"/>
      <c r="GKE2" s="14"/>
      <c r="GKF2" s="14"/>
      <c r="GKG2" s="14"/>
      <c r="GKH2" s="14"/>
      <c r="GKI2" s="14"/>
      <c r="GKJ2" s="14"/>
      <c r="GKK2" s="14"/>
      <c r="GKL2" s="14"/>
      <c r="GKM2" s="14"/>
      <c r="GKN2" s="14"/>
      <c r="GKO2" s="14"/>
      <c r="GKP2" s="14"/>
      <c r="GKQ2" s="14"/>
      <c r="GKR2" s="14"/>
      <c r="GKS2" s="14"/>
      <c r="GKT2" s="14"/>
      <c r="GKU2" s="14"/>
      <c r="GKV2" s="14"/>
      <c r="GKW2" s="14"/>
      <c r="GKX2" s="14"/>
      <c r="GKY2" s="14"/>
      <c r="GKZ2" s="14"/>
      <c r="GLA2" s="14"/>
      <c r="GLB2" s="14"/>
      <c r="GLC2" s="14"/>
      <c r="GLD2" s="14"/>
      <c r="GLE2" s="14"/>
      <c r="GLF2" s="14"/>
      <c r="GLG2" s="14"/>
      <c r="GLH2" s="14"/>
      <c r="GLI2" s="14"/>
      <c r="GLJ2" s="14"/>
      <c r="GLK2" s="14"/>
      <c r="GLL2" s="14"/>
      <c r="GLM2" s="14"/>
      <c r="GLN2" s="14"/>
      <c r="GLO2" s="14"/>
      <c r="GLP2" s="14"/>
      <c r="GLQ2" s="14"/>
      <c r="GLR2" s="14"/>
      <c r="GLS2" s="14"/>
      <c r="GLT2" s="14"/>
      <c r="GLU2" s="14"/>
      <c r="GLV2" s="14"/>
      <c r="GLW2" s="14"/>
      <c r="GLX2" s="14"/>
      <c r="GLY2" s="14"/>
      <c r="GLZ2" s="14"/>
      <c r="GMA2" s="14"/>
      <c r="GMB2" s="14"/>
      <c r="GMC2" s="14"/>
      <c r="GMD2" s="14"/>
      <c r="GME2" s="14"/>
      <c r="GMF2" s="14"/>
      <c r="GMG2" s="14"/>
      <c r="GMH2" s="14"/>
      <c r="GMI2" s="14"/>
      <c r="GMJ2" s="14"/>
      <c r="GMK2" s="14"/>
      <c r="GML2" s="14"/>
      <c r="GMM2" s="14"/>
      <c r="GMN2" s="14"/>
      <c r="GMO2" s="14"/>
      <c r="GMP2" s="14"/>
      <c r="GMQ2" s="14"/>
      <c r="GMR2" s="14"/>
      <c r="GMS2" s="14"/>
      <c r="GMT2" s="14"/>
      <c r="GMU2" s="14"/>
      <c r="GMV2" s="14"/>
      <c r="GMW2" s="14"/>
      <c r="GMX2" s="14"/>
      <c r="GMY2" s="14"/>
      <c r="GMZ2" s="14"/>
      <c r="GNA2" s="14"/>
      <c r="GNB2" s="14"/>
      <c r="GNC2" s="14"/>
      <c r="GND2" s="14"/>
      <c r="GNE2" s="14"/>
      <c r="GNF2" s="14"/>
      <c r="GNG2" s="14"/>
      <c r="GNH2" s="14"/>
      <c r="GNI2" s="14"/>
      <c r="GNJ2" s="14"/>
      <c r="GNK2" s="14"/>
      <c r="GNL2" s="14"/>
      <c r="GNM2" s="14"/>
      <c r="GNN2" s="14"/>
      <c r="GNO2" s="14"/>
      <c r="GNP2" s="14"/>
      <c r="GNQ2" s="14"/>
      <c r="GNR2" s="14"/>
      <c r="GNS2" s="14"/>
      <c r="GNT2" s="14"/>
      <c r="GNU2" s="14"/>
      <c r="GNV2" s="14"/>
      <c r="GNW2" s="14"/>
      <c r="GNX2" s="14"/>
      <c r="GNY2" s="14"/>
      <c r="GNZ2" s="14"/>
      <c r="GOA2" s="14"/>
      <c r="GOB2" s="14"/>
      <c r="GOC2" s="14"/>
      <c r="GOD2" s="14"/>
      <c r="GOE2" s="14"/>
      <c r="GOF2" s="14"/>
      <c r="GOG2" s="14"/>
      <c r="GOH2" s="14"/>
      <c r="GOI2" s="14"/>
      <c r="GOJ2" s="14"/>
      <c r="GOK2" s="14"/>
      <c r="GOL2" s="14"/>
      <c r="GOM2" s="14"/>
      <c r="GON2" s="14"/>
      <c r="GOO2" s="14"/>
      <c r="GOP2" s="14"/>
      <c r="GOQ2" s="14"/>
      <c r="GOR2" s="14"/>
      <c r="GOS2" s="14"/>
      <c r="GOT2" s="14"/>
      <c r="GOU2" s="14"/>
      <c r="GOV2" s="14"/>
      <c r="GOW2" s="14"/>
      <c r="GOX2" s="14"/>
      <c r="GOY2" s="14"/>
      <c r="GOZ2" s="14"/>
      <c r="GPA2" s="14"/>
      <c r="GPB2" s="14"/>
      <c r="GPC2" s="14"/>
      <c r="GPD2" s="14"/>
      <c r="GPE2" s="14"/>
      <c r="GPF2" s="14"/>
      <c r="GPG2" s="14"/>
      <c r="GPH2" s="14"/>
      <c r="GPI2" s="14"/>
      <c r="GPJ2" s="14"/>
      <c r="GPK2" s="14"/>
      <c r="GPL2" s="14"/>
      <c r="GPM2" s="14"/>
      <c r="GPN2" s="14"/>
      <c r="GPO2" s="14"/>
      <c r="GPP2" s="14"/>
      <c r="GPQ2" s="14"/>
      <c r="GPR2" s="14"/>
      <c r="GPS2" s="14"/>
      <c r="GPT2" s="14"/>
      <c r="GPU2" s="14"/>
      <c r="GPV2" s="14"/>
      <c r="GPW2" s="14"/>
      <c r="GPX2" s="14"/>
      <c r="GPY2" s="14"/>
      <c r="GPZ2" s="14"/>
      <c r="GQA2" s="14"/>
      <c r="GQB2" s="14"/>
      <c r="GQC2" s="14"/>
      <c r="GQD2" s="14"/>
      <c r="GQE2" s="14"/>
      <c r="GQF2" s="14"/>
      <c r="GQG2" s="14"/>
      <c r="GQH2" s="14"/>
      <c r="GQI2" s="14"/>
      <c r="GQJ2" s="14"/>
      <c r="GQK2" s="14"/>
      <c r="GQL2" s="14"/>
      <c r="GQM2" s="14"/>
      <c r="GQN2" s="14"/>
      <c r="GQO2" s="14"/>
      <c r="GQP2" s="14"/>
      <c r="GQQ2" s="14"/>
      <c r="GQR2" s="14"/>
      <c r="GQS2" s="14"/>
      <c r="GQT2" s="14"/>
      <c r="GQU2" s="14"/>
      <c r="GQV2" s="14"/>
      <c r="GQW2" s="14"/>
      <c r="GQX2" s="14"/>
      <c r="GQY2" s="14"/>
      <c r="GQZ2" s="14"/>
      <c r="GRA2" s="14"/>
      <c r="GRB2" s="14"/>
      <c r="GRC2" s="14"/>
      <c r="GRD2" s="14"/>
      <c r="GRE2" s="14"/>
      <c r="GRF2" s="14"/>
      <c r="GRG2" s="14"/>
      <c r="GRH2" s="14"/>
      <c r="GRI2" s="14"/>
      <c r="GRJ2" s="14"/>
      <c r="GRK2" s="14"/>
      <c r="GRL2" s="14"/>
      <c r="GRM2" s="14"/>
      <c r="GRN2" s="14"/>
      <c r="GRO2" s="14"/>
      <c r="GRP2" s="14"/>
      <c r="GRQ2" s="14"/>
      <c r="GRR2" s="14"/>
      <c r="GRS2" s="14"/>
      <c r="GRT2" s="14"/>
      <c r="GRU2" s="14"/>
      <c r="GRV2" s="14"/>
      <c r="GRW2" s="14"/>
      <c r="GRX2" s="14"/>
      <c r="GRY2" s="14"/>
      <c r="GRZ2" s="14"/>
      <c r="GSA2" s="14"/>
      <c r="GSB2" s="14"/>
      <c r="GSC2" s="14"/>
      <c r="GSD2" s="14"/>
      <c r="GSE2" s="14"/>
      <c r="GSF2" s="14"/>
      <c r="GSG2" s="14"/>
      <c r="GSH2" s="14"/>
      <c r="GSI2" s="14"/>
      <c r="GSJ2" s="14"/>
      <c r="GSK2" s="14"/>
      <c r="GSL2" s="14"/>
      <c r="GSM2" s="14"/>
      <c r="GSN2" s="14"/>
      <c r="GSO2" s="14"/>
      <c r="GSP2" s="14"/>
      <c r="GSQ2" s="14"/>
      <c r="GSR2" s="14"/>
      <c r="GSS2" s="14"/>
      <c r="GST2" s="14"/>
      <c r="GSU2" s="14"/>
      <c r="GSV2" s="14"/>
      <c r="GSW2" s="14"/>
      <c r="GSX2" s="14"/>
      <c r="GSY2" s="14"/>
      <c r="GSZ2" s="14"/>
      <c r="GTA2" s="14"/>
      <c r="GTB2" s="14"/>
      <c r="GTC2" s="14"/>
      <c r="GTD2" s="14"/>
      <c r="GTE2" s="14"/>
      <c r="GTF2" s="14"/>
      <c r="GTG2" s="14"/>
      <c r="GTH2" s="14"/>
      <c r="GTI2" s="14"/>
      <c r="GTJ2" s="14"/>
      <c r="GTK2" s="14"/>
      <c r="GTL2" s="14"/>
      <c r="GTM2" s="14"/>
      <c r="GTN2" s="14"/>
      <c r="GTO2" s="14"/>
      <c r="GTP2" s="14"/>
      <c r="GTQ2" s="14"/>
      <c r="GTR2" s="14"/>
      <c r="GTS2" s="14"/>
      <c r="GTT2" s="14"/>
      <c r="GTU2" s="14"/>
      <c r="GTV2" s="14"/>
      <c r="GTW2" s="14"/>
      <c r="GTX2" s="14"/>
      <c r="GTY2" s="14"/>
      <c r="GTZ2" s="14"/>
      <c r="GUA2" s="14"/>
      <c r="GUB2" s="14"/>
      <c r="GUC2" s="14"/>
      <c r="GUD2" s="14"/>
      <c r="GUE2" s="14"/>
      <c r="GUF2" s="14"/>
      <c r="GUG2" s="14"/>
      <c r="GUH2" s="14"/>
      <c r="GUI2" s="14"/>
      <c r="GUJ2" s="14"/>
      <c r="GUK2" s="14"/>
      <c r="GUL2" s="14"/>
      <c r="GUM2" s="14"/>
      <c r="GUN2" s="14"/>
      <c r="GUO2" s="14"/>
      <c r="GUP2" s="14"/>
      <c r="GUQ2" s="14"/>
      <c r="GUR2" s="14"/>
      <c r="GUS2" s="14"/>
      <c r="GUT2" s="14"/>
      <c r="GUU2" s="14"/>
      <c r="GUV2" s="14"/>
      <c r="GUW2" s="14"/>
      <c r="GUX2" s="14"/>
      <c r="GUY2" s="14"/>
      <c r="GUZ2" s="14"/>
      <c r="GVA2" s="14"/>
      <c r="GVB2" s="14"/>
      <c r="GVC2" s="14"/>
      <c r="GVD2" s="14"/>
      <c r="GVE2" s="14"/>
      <c r="GVF2" s="14"/>
      <c r="GVG2" s="14"/>
      <c r="GVH2" s="14"/>
      <c r="GVI2" s="14"/>
      <c r="GVJ2" s="14"/>
      <c r="GVK2" s="14"/>
      <c r="GVL2" s="14"/>
      <c r="GVM2" s="14"/>
      <c r="GVN2" s="14"/>
      <c r="GVO2" s="14"/>
      <c r="GVP2" s="14"/>
      <c r="GVQ2" s="14"/>
      <c r="GVR2" s="14"/>
      <c r="GVS2" s="14"/>
      <c r="GVT2" s="14"/>
      <c r="GVU2" s="14"/>
      <c r="GVV2" s="14"/>
      <c r="GVW2" s="14"/>
      <c r="GVX2" s="14"/>
      <c r="GVY2" s="14"/>
      <c r="GVZ2" s="14"/>
      <c r="GWA2" s="14"/>
      <c r="GWB2" s="14"/>
      <c r="GWC2" s="14"/>
      <c r="GWD2" s="14"/>
      <c r="GWE2" s="14"/>
      <c r="GWF2" s="14"/>
      <c r="GWG2" s="14"/>
      <c r="GWH2" s="14"/>
      <c r="GWI2" s="14"/>
      <c r="GWJ2" s="14"/>
      <c r="GWK2" s="14"/>
      <c r="GWL2" s="14"/>
      <c r="GWM2" s="14"/>
      <c r="GWN2" s="14"/>
      <c r="GWO2" s="14"/>
      <c r="GWP2" s="14"/>
      <c r="GWQ2" s="14"/>
      <c r="GWR2" s="14"/>
      <c r="GWS2" s="14"/>
      <c r="GWT2" s="14"/>
      <c r="GWU2" s="14"/>
      <c r="GWV2" s="14"/>
      <c r="GWW2" s="14"/>
      <c r="GWX2" s="14"/>
      <c r="GWY2" s="14"/>
      <c r="GWZ2" s="14"/>
      <c r="GXA2" s="14"/>
      <c r="GXB2" s="14"/>
      <c r="GXC2" s="14"/>
      <c r="GXD2" s="14"/>
      <c r="GXE2" s="14"/>
      <c r="GXF2" s="14"/>
      <c r="GXG2" s="14"/>
      <c r="GXH2" s="14"/>
      <c r="GXI2" s="14"/>
      <c r="GXJ2" s="14"/>
      <c r="GXK2" s="14"/>
      <c r="GXL2" s="14"/>
      <c r="GXM2" s="14"/>
      <c r="GXN2" s="14"/>
      <c r="GXO2" s="14"/>
      <c r="GXP2" s="14"/>
      <c r="GXQ2" s="14"/>
      <c r="GXR2" s="14"/>
      <c r="GXS2" s="14"/>
      <c r="GXT2" s="14"/>
      <c r="GXU2" s="14"/>
      <c r="GXV2" s="14"/>
      <c r="GXW2" s="14"/>
      <c r="GXX2" s="14"/>
      <c r="GXY2" s="14"/>
      <c r="GXZ2" s="14"/>
      <c r="GYA2" s="14"/>
      <c r="GYB2" s="14"/>
      <c r="GYC2" s="14"/>
      <c r="GYD2" s="14"/>
      <c r="GYE2" s="14"/>
      <c r="GYF2" s="14"/>
      <c r="GYG2" s="14"/>
      <c r="GYH2" s="14"/>
      <c r="GYI2" s="14"/>
      <c r="GYJ2" s="14"/>
      <c r="GYK2" s="14"/>
      <c r="GYL2" s="14"/>
      <c r="GYM2" s="14"/>
      <c r="GYN2" s="14"/>
      <c r="GYO2" s="14"/>
      <c r="GYP2" s="14"/>
      <c r="GYQ2" s="14"/>
      <c r="GYR2" s="14"/>
      <c r="GYS2" s="14"/>
      <c r="GYT2" s="14"/>
      <c r="GYU2" s="14"/>
      <c r="GYV2" s="14"/>
      <c r="GYW2" s="14"/>
      <c r="GYX2" s="14"/>
      <c r="GYY2" s="14"/>
      <c r="GYZ2" s="14"/>
      <c r="GZA2" s="14"/>
      <c r="GZB2" s="14"/>
      <c r="GZC2" s="14"/>
      <c r="GZD2" s="14"/>
      <c r="GZE2" s="14"/>
      <c r="GZF2" s="14"/>
      <c r="GZG2" s="14"/>
      <c r="GZH2" s="14"/>
      <c r="GZI2" s="14"/>
      <c r="GZJ2" s="14"/>
      <c r="GZK2" s="14"/>
      <c r="GZL2" s="14"/>
      <c r="GZM2" s="14"/>
      <c r="GZN2" s="14"/>
      <c r="GZO2" s="14"/>
      <c r="GZP2" s="14"/>
      <c r="GZQ2" s="14"/>
      <c r="GZR2" s="14"/>
      <c r="GZS2" s="14"/>
      <c r="GZT2" s="14"/>
      <c r="GZU2" s="14"/>
      <c r="GZV2" s="14"/>
      <c r="GZW2" s="14"/>
      <c r="GZX2" s="14"/>
      <c r="GZY2" s="14"/>
      <c r="GZZ2" s="14"/>
      <c r="HAA2" s="14"/>
      <c r="HAB2" s="14"/>
      <c r="HAC2" s="14"/>
      <c r="HAD2" s="14"/>
      <c r="HAE2" s="14"/>
      <c r="HAF2" s="14"/>
      <c r="HAG2" s="14"/>
      <c r="HAH2" s="14"/>
      <c r="HAI2" s="14"/>
      <c r="HAJ2" s="14"/>
      <c r="HAK2" s="14"/>
      <c r="HAL2" s="14"/>
      <c r="HAM2" s="14"/>
      <c r="HAN2" s="14"/>
      <c r="HAO2" s="14"/>
      <c r="HAP2" s="14"/>
      <c r="HAQ2" s="14"/>
      <c r="HAR2" s="14"/>
      <c r="HAS2" s="14"/>
      <c r="HAT2" s="14"/>
      <c r="HAU2" s="14"/>
      <c r="HAV2" s="14"/>
      <c r="HAW2" s="14"/>
      <c r="HAX2" s="14"/>
      <c r="HAY2" s="14"/>
      <c r="HAZ2" s="14"/>
      <c r="HBA2" s="14"/>
      <c r="HBB2" s="14"/>
      <c r="HBC2" s="14"/>
      <c r="HBD2" s="14"/>
      <c r="HBE2" s="14"/>
      <c r="HBF2" s="14"/>
      <c r="HBG2" s="14"/>
      <c r="HBH2" s="14"/>
      <c r="HBI2" s="14"/>
      <c r="HBJ2" s="14"/>
      <c r="HBK2" s="14"/>
      <c r="HBL2" s="14"/>
      <c r="HBM2" s="14"/>
      <c r="HBN2" s="14"/>
      <c r="HBO2" s="14"/>
      <c r="HBP2" s="14"/>
      <c r="HBQ2" s="14"/>
      <c r="HBR2" s="14"/>
      <c r="HBS2" s="14"/>
      <c r="HBT2" s="14"/>
      <c r="HBU2" s="14"/>
      <c r="HBV2" s="14"/>
      <c r="HBW2" s="14"/>
      <c r="HBX2" s="14"/>
      <c r="HBY2" s="14"/>
      <c r="HBZ2" s="14"/>
      <c r="HCA2" s="14"/>
      <c r="HCB2" s="14"/>
      <c r="HCC2" s="14"/>
      <c r="HCD2" s="14"/>
      <c r="HCE2" s="14"/>
      <c r="HCF2" s="14"/>
      <c r="HCG2" s="14"/>
      <c r="HCH2" s="14"/>
      <c r="HCI2" s="14"/>
      <c r="HCJ2" s="14"/>
      <c r="HCK2" s="14"/>
      <c r="HCL2" s="14"/>
      <c r="HCM2" s="14"/>
      <c r="HCN2" s="14"/>
      <c r="HCO2" s="14"/>
      <c r="HCP2" s="14"/>
      <c r="HCQ2" s="14"/>
      <c r="HCR2" s="14"/>
      <c r="HCS2" s="14"/>
      <c r="HCT2" s="14"/>
      <c r="HCU2" s="14"/>
      <c r="HCV2" s="14"/>
      <c r="HCW2" s="14"/>
      <c r="HCX2" s="14"/>
      <c r="HCY2" s="14"/>
      <c r="HCZ2" s="14"/>
      <c r="HDA2" s="14"/>
      <c r="HDB2" s="14"/>
      <c r="HDC2" s="14"/>
      <c r="HDD2" s="14"/>
      <c r="HDE2" s="14"/>
      <c r="HDF2" s="14"/>
      <c r="HDG2" s="14"/>
      <c r="HDH2" s="14"/>
      <c r="HDI2" s="14"/>
      <c r="HDJ2" s="14"/>
      <c r="HDK2" s="14"/>
      <c r="HDL2" s="14"/>
      <c r="HDM2" s="14"/>
      <c r="HDN2" s="14"/>
      <c r="HDO2" s="14"/>
      <c r="HDP2" s="14"/>
      <c r="HDQ2" s="14"/>
      <c r="HDR2" s="14"/>
      <c r="HDS2" s="14"/>
      <c r="HDT2" s="14"/>
      <c r="HDU2" s="14"/>
      <c r="HDV2" s="14"/>
      <c r="HDW2" s="14"/>
      <c r="HDX2" s="14"/>
      <c r="HDY2" s="14"/>
      <c r="HDZ2" s="14"/>
      <c r="HEA2" s="14"/>
      <c r="HEB2" s="14"/>
      <c r="HEC2" s="14"/>
      <c r="HED2" s="14"/>
      <c r="HEE2" s="14"/>
      <c r="HEF2" s="14"/>
      <c r="HEG2" s="14"/>
      <c r="HEH2" s="14"/>
      <c r="HEI2" s="14"/>
      <c r="HEJ2" s="14"/>
      <c r="HEK2" s="14"/>
      <c r="HEL2" s="14"/>
      <c r="HEM2" s="14"/>
      <c r="HEN2" s="14"/>
      <c r="HEO2" s="14"/>
      <c r="HEP2" s="14"/>
      <c r="HEQ2" s="14"/>
      <c r="HER2" s="14"/>
      <c r="HES2" s="14"/>
      <c r="HET2" s="14"/>
      <c r="HEU2" s="14"/>
      <c r="HEV2" s="14"/>
      <c r="HEW2" s="14"/>
      <c r="HEX2" s="14"/>
      <c r="HEY2" s="14"/>
      <c r="HEZ2" s="14"/>
      <c r="HFA2" s="14"/>
      <c r="HFB2" s="14"/>
      <c r="HFC2" s="14"/>
      <c r="HFD2" s="14"/>
      <c r="HFE2" s="14"/>
      <c r="HFF2" s="14"/>
      <c r="HFG2" s="14"/>
      <c r="HFH2" s="14"/>
      <c r="HFI2" s="14"/>
      <c r="HFJ2" s="14"/>
      <c r="HFK2" s="14"/>
      <c r="HFL2" s="14"/>
      <c r="HFM2" s="14"/>
      <c r="HFN2" s="14"/>
      <c r="HFO2" s="14"/>
      <c r="HFP2" s="14"/>
      <c r="HFQ2" s="14"/>
      <c r="HFR2" s="14"/>
      <c r="HFS2" s="14"/>
      <c r="HFT2" s="14"/>
      <c r="HFU2" s="14"/>
      <c r="HFV2" s="14"/>
      <c r="HFW2" s="14"/>
      <c r="HFX2" s="14"/>
      <c r="HFY2" s="14"/>
      <c r="HFZ2" s="14"/>
      <c r="HGA2" s="14"/>
      <c r="HGB2" s="14"/>
      <c r="HGC2" s="14"/>
      <c r="HGD2" s="14"/>
      <c r="HGE2" s="14"/>
      <c r="HGF2" s="14"/>
      <c r="HGG2" s="14"/>
      <c r="HGH2" s="14"/>
      <c r="HGI2" s="14"/>
      <c r="HGJ2" s="14"/>
      <c r="HGK2" s="14"/>
      <c r="HGL2" s="14"/>
      <c r="HGM2" s="14"/>
      <c r="HGN2" s="14"/>
      <c r="HGO2" s="14"/>
      <c r="HGP2" s="14"/>
      <c r="HGQ2" s="14"/>
      <c r="HGR2" s="14"/>
      <c r="HGS2" s="14"/>
      <c r="HGT2" s="14"/>
      <c r="HGU2" s="14"/>
      <c r="HGV2" s="14"/>
      <c r="HGW2" s="14"/>
      <c r="HGX2" s="14"/>
      <c r="HGY2" s="14"/>
      <c r="HGZ2" s="14"/>
      <c r="HHA2" s="14"/>
      <c r="HHB2" s="14"/>
      <c r="HHC2" s="14"/>
      <c r="HHD2" s="14"/>
      <c r="HHE2" s="14"/>
      <c r="HHF2" s="14"/>
      <c r="HHG2" s="14"/>
      <c r="HHH2" s="14"/>
      <c r="HHI2" s="14"/>
      <c r="HHJ2" s="14"/>
      <c r="HHK2" s="14"/>
      <c r="HHL2" s="14"/>
      <c r="HHM2" s="14"/>
      <c r="HHN2" s="14"/>
      <c r="HHO2" s="14"/>
      <c r="HHP2" s="14"/>
      <c r="HHQ2" s="14"/>
      <c r="HHR2" s="14"/>
      <c r="HHS2" s="14"/>
      <c r="HHT2" s="14"/>
      <c r="HHU2" s="14"/>
      <c r="HHV2" s="14"/>
      <c r="HHW2" s="14"/>
      <c r="HHX2" s="14"/>
      <c r="HHY2" s="14"/>
      <c r="HHZ2" s="14"/>
      <c r="HIA2" s="14"/>
      <c r="HIB2" s="14"/>
      <c r="HIC2" s="14"/>
      <c r="HID2" s="14"/>
      <c r="HIE2" s="14"/>
      <c r="HIF2" s="14"/>
      <c r="HIG2" s="14"/>
      <c r="HIH2" s="14"/>
      <c r="HII2" s="14"/>
      <c r="HIJ2" s="14"/>
      <c r="HIK2" s="14"/>
      <c r="HIL2" s="14"/>
      <c r="HIM2" s="14"/>
      <c r="HIN2" s="14"/>
      <c r="HIO2" s="14"/>
      <c r="HIP2" s="14"/>
      <c r="HIQ2" s="14"/>
      <c r="HIR2" s="14"/>
      <c r="HIS2" s="14"/>
      <c r="HIT2" s="14"/>
      <c r="HIU2" s="14"/>
      <c r="HIV2" s="14"/>
      <c r="HIW2" s="14"/>
      <c r="HIX2" s="14"/>
      <c r="HIY2" s="14"/>
      <c r="HIZ2" s="14"/>
      <c r="HJA2" s="14"/>
      <c r="HJB2" s="14"/>
      <c r="HJC2" s="14"/>
      <c r="HJD2" s="14"/>
      <c r="HJE2" s="14"/>
      <c r="HJF2" s="14"/>
      <c r="HJG2" s="14"/>
      <c r="HJH2" s="14"/>
      <c r="HJI2" s="14"/>
      <c r="HJJ2" s="14"/>
      <c r="HJK2" s="14"/>
      <c r="HJL2" s="14"/>
      <c r="HJM2" s="14"/>
      <c r="HJN2" s="14"/>
      <c r="HJO2" s="14"/>
      <c r="HJP2" s="14"/>
      <c r="HJQ2" s="14"/>
      <c r="HJR2" s="14"/>
      <c r="HJS2" s="14"/>
      <c r="HJT2" s="14"/>
      <c r="HJU2" s="14"/>
      <c r="HJV2" s="14"/>
      <c r="HJW2" s="14"/>
      <c r="HJX2" s="14"/>
      <c r="HJY2" s="14"/>
      <c r="HJZ2" s="14"/>
      <c r="HKA2" s="14"/>
      <c r="HKB2" s="14"/>
      <c r="HKC2" s="14"/>
      <c r="HKD2" s="14"/>
      <c r="HKE2" s="14"/>
      <c r="HKF2" s="14"/>
      <c r="HKG2" s="14"/>
      <c r="HKH2" s="14"/>
      <c r="HKI2" s="14"/>
      <c r="HKJ2" s="14"/>
      <c r="HKK2" s="14"/>
      <c r="HKL2" s="14"/>
      <c r="HKM2" s="14"/>
      <c r="HKN2" s="14"/>
      <c r="HKO2" s="14"/>
      <c r="HKP2" s="14"/>
      <c r="HKQ2" s="14"/>
      <c r="HKR2" s="14"/>
      <c r="HKS2" s="14"/>
      <c r="HKT2" s="14"/>
      <c r="HKU2" s="14"/>
      <c r="HKV2" s="14"/>
      <c r="HKW2" s="14"/>
      <c r="HKX2" s="14"/>
      <c r="HKY2" s="14"/>
      <c r="HKZ2" s="14"/>
      <c r="HLA2" s="14"/>
      <c r="HLB2" s="14"/>
      <c r="HLC2" s="14"/>
      <c r="HLD2" s="14"/>
      <c r="HLE2" s="14"/>
      <c r="HLF2" s="14"/>
      <c r="HLG2" s="14"/>
      <c r="HLH2" s="14"/>
      <c r="HLI2" s="14"/>
      <c r="HLJ2" s="14"/>
      <c r="HLK2" s="14"/>
      <c r="HLL2" s="14"/>
      <c r="HLM2" s="14"/>
      <c r="HLN2" s="14"/>
      <c r="HLO2" s="14"/>
      <c r="HLP2" s="14"/>
      <c r="HLQ2" s="14"/>
      <c r="HLR2" s="14"/>
      <c r="HLS2" s="14"/>
      <c r="HLT2" s="14"/>
      <c r="HLU2" s="14"/>
      <c r="HLV2" s="14"/>
      <c r="HLW2" s="14"/>
      <c r="HLX2" s="14"/>
      <c r="HLY2" s="14"/>
      <c r="HLZ2" s="14"/>
      <c r="HMA2" s="14"/>
      <c r="HMB2" s="14"/>
      <c r="HMC2" s="14"/>
      <c r="HMD2" s="14"/>
      <c r="HME2" s="14"/>
      <c r="HMF2" s="14"/>
      <c r="HMG2" s="14"/>
      <c r="HMH2" s="14"/>
      <c r="HMI2" s="14"/>
      <c r="HMJ2" s="14"/>
      <c r="HMK2" s="14"/>
      <c r="HML2" s="14"/>
      <c r="HMM2" s="14"/>
      <c r="HMN2" s="14"/>
      <c r="HMO2" s="14"/>
      <c r="HMP2" s="14"/>
      <c r="HMQ2" s="14"/>
      <c r="HMR2" s="14"/>
      <c r="HMS2" s="14"/>
      <c r="HMT2" s="14"/>
      <c r="HMU2" s="14"/>
      <c r="HMV2" s="14"/>
      <c r="HMW2" s="14"/>
      <c r="HMX2" s="14"/>
      <c r="HMY2" s="14"/>
      <c r="HMZ2" s="14"/>
      <c r="HNA2" s="14"/>
      <c r="HNB2" s="14"/>
      <c r="HNC2" s="14"/>
      <c r="HND2" s="14"/>
      <c r="HNE2" s="14"/>
      <c r="HNF2" s="14"/>
      <c r="HNG2" s="14"/>
      <c r="HNH2" s="14"/>
      <c r="HNI2" s="14"/>
      <c r="HNJ2" s="14"/>
      <c r="HNK2" s="14"/>
      <c r="HNL2" s="14"/>
      <c r="HNM2" s="14"/>
      <c r="HNN2" s="14"/>
      <c r="HNO2" s="14"/>
      <c r="HNP2" s="14"/>
      <c r="HNQ2" s="14"/>
      <c r="HNR2" s="14"/>
      <c r="HNS2" s="14"/>
      <c r="HNT2" s="14"/>
      <c r="HNU2" s="14"/>
      <c r="HNV2" s="14"/>
      <c r="HNW2" s="14"/>
      <c r="HNX2" s="14"/>
      <c r="HNY2" s="14"/>
      <c r="HNZ2" s="14"/>
      <c r="HOA2" s="14"/>
      <c r="HOB2" s="14"/>
      <c r="HOC2" s="14"/>
      <c r="HOD2" s="14"/>
      <c r="HOE2" s="14"/>
      <c r="HOF2" s="14"/>
      <c r="HOG2" s="14"/>
      <c r="HOH2" s="14"/>
      <c r="HOI2" s="14"/>
      <c r="HOJ2" s="14"/>
      <c r="HOK2" s="14"/>
      <c r="HOL2" s="14"/>
      <c r="HOM2" s="14"/>
      <c r="HON2" s="14"/>
      <c r="HOO2" s="14"/>
      <c r="HOP2" s="14"/>
      <c r="HOQ2" s="14"/>
      <c r="HOR2" s="14"/>
      <c r="HOS2" s="14"/>
      <c r="HOT2" s="14"/>
      <c r="HOU2" s="14"/>
      <c r="HOV2" s="14"/>
      <c r="HOW2" s="14"/>
      <c r="HOX2" s="14"/>
      <c r="HOY2" s="14"/>
      <c r="HOZ2" s="14"/>
      <c r="HPA2" s="14"/>
      <c r="HPB2" s="14"/>
      <c r="HPC2" s="14"/>
      <c r="HPD2" s="14"/>
      <c r="HPE2" s="14"/>
      <c r="HPF2" s="14"/>
      <c r="HPG2" s="14"/>
      <c r="HPH2" s="14"/>
      <c r="HPI2" s="14"/>
      <c r="HPJ2" s="14"/>
      <c r="HPK2" s="14"/>
      <c r="HPL2" s="14"/>
      <c r="HPM2" s="14"/>
      <c r="HPN2" s="14"/>
      <c r="HPO2" s="14"/>
      <c r="HPP2" s="14"/>
      <c r="HPQ2" s="14"/>
      <c r="HPR2" s="14"/>
      <c r="HPS2" s="14"/>
      <c r="HPT2" s="14"/>
      <c r="HPU2" s="14"/>
      <c r="HPV2" s="14"/>
      <c r="HPW2" s="14"/>
      <c r="HPX2" s="14"/>
      <c r="HPY2" s="14"/>
      <c r="HPZ2" s="14"/>
      <c r="HQA2" s="14"/>
      <c r="HQB2" s="14"/>
      <c r="HQC2" s="14"/>
      <c r="HQD2" s="14"/>
      <c r="HQE2" s="14"/>
      <c r="HQF2" s="14"/>
      <c r="HQG2" s="14"/>
      <c r="HQH2" s="14"/>
      <c r="HQI2" s="14"/>
      <c r="HQJ2" s="14"/>
      <c r="HQK2" s="14"/>
      <c r="HQL2" s="14"/>
      <c r="HQM2" s="14"/>
      <c r="HQN2" s="14"/>
      <c r="HQO2" s="14"/>
      <c r="HQP2" s="14"/>
      <c r="HQQ2" s="14"/>
      <c r="HQR2" s="14"/>
      <c r="HQS2" s="14"/>
      <c r="HQT2" s="14"/>
      <c r="HQU2" s="14"/>
      <c r="HQV2" s="14"/>
      <c r="HQW2" s="14"/>
      <c r="HQX2" s="14"/>
      <c r="HQY2" s="14"/>
      <c r="HQZ2" s="14"/>
      <c r="HRA2" s="14"/>
      <c r="HRB2" s="14"/>
      <c r="HRC2" s="14"/>
      <c r="HRD2" s="14"/>
      <c r="HRE2" s="14"/>
      <c r="HRF2" s="14"/>
      <c r="HRG2" s="14"/>
      <c r="HRH2" s="14"/>
      <c r="HRI2" s="14"/>
      <c r="HRJ2" s="14"/>
      <c r="HRK2" s="14"/>
      <c r="HRL2" s="14"/>
      <c r="HRM2" s="14"/>
      <c r="HRN2" s="14"/>
      <c r="HRO2" s="14"/>
      <c r="HRP2" s="14"/>
      <c r="HRQ2" s="14"/>
      <c r="HRR2" s="14"/>
      <c r="HRS2" s="14"/>
      <c r="HRT2" s="14"/>
      <c r="HRU2" s="14"/>
      <c r="HRV2" s="14"/>
      <c r="HRW2" s="14"/>
      <c r="HRX2" s="14"/>
      <c r="HRY2" s="14"/>
      <c r="HRZ2" s="14"/>
      <c r="HSA2" s="14"/>
      <c r="HSB2" s="14"/>
      <c r="HSC2" s="14"/>
      <c r="HSD2" s="14"/>
      <c r="HSE2" s="14"/>
      <c r="HSF2" s="14"/>
      <c r="HSG2" s="14"/>
      <c r="HSH2" s="14"/>
      <c r="HSI2" s="14"/>
      <c r="HSJ2" s="14"/>
      <c r="HSK2" s="14"/>
      <c r="HSL2" s="14"/>
      <c r="HSM2" s="14"/>
      <c r="HSN2" s="14"/>
      <c r="HSO2" s="14"/>
      <c r="HSP2" s="14"/>
      <c r="HSQ2" s="14"/>
      <c r="HSR2" s="14"/>
      <c r="HSS2" s="14"/>
      <c r="HST2" s="14"/>
      <c r="HSU2" s="14"/>
      <c r="HSV2" s="14"/>
      <c r="HSW2" s="14"/>
      <c r="HSX2" s="14"/>
      <c r="HSY2" s="14"/>
      <c r="HSZ2" s="14"/>
      <c r="HTA2" s="14"/>
      <c r="HTB2" s="14"/>
      <c r="HTC2" s="14"/>
      <c r="HTD2" s="14"/>
      <c r="HTE2" s="14"/>
      <c r="HTF2" s="14"/>
      <c r="HTG2" s="14"/>
      <c r="HTH2" s="14"/>
      <c r="HTI2" s="14"/>
      <c r="HTJ2" s="14"/>
      <c r="HTK2" s="14"/>
      <c r="HTL2" s="14"/>
      <c r="HTM2" s="14"/>
      <c r="HTN2" s="14"/>
      <c r="HTO2" s="14"/>
      <c r="HTP2" s="14"/>
      <c r="HTQ2" s="14"/>
      <c r="HTR2" s="14"/>
      <c r="HTS2" s="14"/>
      <c r="HTT2" s="14"/>
      <c r="HTU2" s="14"/>
      <c r="HTV2" s="14"/>
      <c r="HTW2" s="14"/>
      <c r="HTX2" s="14"/>
      <c r="HTY2" s="14"/>
      <c r="HTZ2" s="14"/>
      <c r="HUA2" s="14"/>
      <c r="HUB2" s="14"/>
      <c r="HUC2" s="14"/>
      <c r="HUD2" s="14"/>
      <c r="HUE2" s="14"/>
      <c r="HUF2" s="14"/>
      <c r="HUG2" s="14"/>
      <c r="HUH2" s="14"/>
      <c r="HUI2" s="14"/>
      <c r="HUJ2" s="14"/>
      <c r="HUK2" s="14"/>
      <c r="HUL2" s="14"/>
      <c r="HUM2" s="14"/>
      <c r="HUN2" s="14"/>
      <c r="HUO2" s="14"/>
      <c r="HUP2" s="14"/>
      <c r="HUQ2" s="14"/>
      <c r="HUR2" s="14"/>
      <c r="HUS2" s="14"/>
      <c r="HUT2" s="14"/>
      <c r="HUU2" s="14"/>
      <c r="HUV2" s="14"/>
      <c r="HUW2" s="14"/>
      <c r="HUX2" s="14"/>
      <c r="HUY2" s="14"/>
      <c r="HUZ2" s="14"/>
      <c r="HVA2" s="14"/>
      <c r="HVB2" s="14"/>
      <c r="HVC2" s="14"/>
      <c r="HVD2" s="14"/>
      <c r="HVE2" s="14"/>
      <c r="HVF2" s="14"/>
      <c r="HVG2" s="14"/>
      <c r="HVH2" s="14"/>
      <c r="HVI2" s="14"/>
      <c r="HVJ2" s="14"/>
      <c r="HVK2" s="14"/>
      <c r="HVL2" s="14"/>
      <c r="HVM2" s="14"/>
      <c r="HVN2" s="14"/>
      <c r="HVO2" s="14"/>
      <c r="HVP2" s="14"/>
      <c r="HVQ2" s="14"/>
      <c r="HVR2" s="14"/>
      <c r="HVS2" s="14"/>
      <c r="HVT2" s="14"/>
      <c r="HVU2" s="14"/>
      <c r="HVV2" s="14"/>
      <c r="HVW2" s="14"/>
      <c r="HVX2" s="14"/>
      <c r="HVY2" s="14"/>
      <c r="HVZ2" s="14"/>
      <c r="HWA2" s="14"/>
      <c r="HWB2" s="14"/>
      <c r="HWC2" s="14"/>
      <c r="HWD2" s="14"/>
      <c r="HWE2" s="14"/>
      <c r="HWF2" s="14"/>
      <c r="HWG2" s="14"/>
      <c r="HWH2" s="14"/>
      <c r="HWI2" s="14"/>
      <c r="HWJ2" s="14"/>
      <c r="HWK2" s="14"/>
      <c r="HWL2" s="14"/>
      <c r="HWM2" s="14"/>
      <c r="HWN2" s="14"/>
      <c r="HWO2" s="14"/>
      <c r="HWP2" s="14"/>
      <c r="HWQ2" s="14"/>
      <c r="HWR2" s="14"/>
      <c r="HWS2" s="14"/>
      <c r="HWT2" s="14"/>
      <c r="HWU2" s="14"/>
      <c r="HWV2" s="14"/>
      <c r="HWW2" s="14"/>
      <c r="HWX2" s="14"/>
      <c r="HWY2" s="14"/>
      <c r="HWZ2" s="14"/>
      <c r="HXA2" s="14"/>
      <c r="HXB2" s="14"/>
      <c r="HXC2" s="14"/>
      <c r="HXD2" s="14"/>
      <c r="HXE2" s="14"/>
      <c r="HXF2" s="14"/>
      <c r="HXG2" s="14"/>
      <c r="HXH2" s="14"/>
      <c r="HXI2" s="14"/>
      <c r="HXJ2" s="14"/>
      <c r="HXK2" s="14"/>
      <c r="HXL2" s="14"/>
      <c r="HXM2" s="14"/>
      <c r="HXN2" s="14"/>
      <c r="HXO2" s="14"/>
      <c r="HXP2" s="14"/>
      <c r="HXQ2" s="14"/>
      <c r="HXR2" s="14"/>
      <c r="HXS2" s="14"/>
      <c r="HXT2" s="14"/>
      <c r="HXU2" s="14"/>
      <c r="HXV2" s="14"/>
      <c r="HXW2" s="14"/>
      <c r="HXX2" s="14"/>
      <c r="HXY2" s="14"/>
      <c r="HXZ2" s="14"/>
      <c r="HYA2" s="14"/>
      <c r="HYB2" s="14"/>
      <c r="HYC2" s="14"/>
      <c r="HYD2" s="14"/>
      <c r="HYE2" s="14"/>
      <c r="HYF2" s="14"/>
      <c r="HYG2" s="14"/>
      <c r="HYH2" s="14"/>
      <c r="HYI2" s="14"/>
      <c r="HYJ2" s="14"/>
      <c r="HYK2" s="14"/>
      <c r="HYL2" s="14"/>
      <c r="HYM2" s="14"/>
      <c r="HYN2" s="14"/>
      <c r="HYO2" s="14"/>
      <c r="HYP2" s="14"/>
      <c r="HYQ2" s="14"/>
      <c r="HYR2" s="14"/>
      <c r="HYS2" s="14"/>
      <c r="HYT2" s="14"/>
      <c r="HYU2" s="14"/>
      <c r="HYV2" s="14"/>
      <c r="HYW2" s="14"/>
      <c r="HYX2" s="14"/>
      <c r="HYY2" s="14"/>
      <c r="HYZ2" s="14"/>
      <c r="HZA2" s="14"/>
      <c r="HZB2" s="14"/>
      <c r="HZC2" s="14"/>
      <c r="HZD2" s="14"/>
      <c r="HZE2" s="14"/>
      <c r="HZF2" s="14"/>
      <c r="HZG2" s="14"/>
      <c r="HZH2" s="14"/>
      <c r="HZI2" s="14"/>
      <c r="HZJ2" s="14"/>
      <c r="HZK2" s="14"/>
      <c r="HZL2" s="14"/>
      <c r="HZM2" s="14"/>
      <c r="HZN2" s="14"/>
      <c r="HZO2" s="14"/>
      <c r="HZP2" s="14"/>
      <c r="HZQ2" s="14"/>
      <c r="HZR2" s="14"/>
      <c r="HZS2" s="14"/>
      <c r="HZT2" s="14"/>
      <c r="HZU2" s="14"/>
      <c r="HZV2" s="14"/>
      <c r="HZW2" s="14"/>
      <c r="HZX2" s="14"/>
      <c r="HZY2" s="14"/>
      <c r="HZZ2" s="14"/>
      <c r="IAA2" s="14"/>
      <c r="IAB2" s="14"/>
      <c r="IAC2" s="14"/>
      <c r="IAD2" s="14"/>
      <c r="IAE2" s="14"/>
      <c r="IAF2" s="14"/>
      <c r="IAG2" s="14"/>
      <c r="IAH2" s="14"/>
      <c r="IAI2" s="14"/>
      <c r="IAJ2" s="14"/>
      <c r="IAK2" s="14"/>
      <c r="IAL2" s="14"/>
      <c r="IAM2" s="14"/>
      <c r="IAN2" s="14"/>
      <c r="IAO2" s="14"/>
      <c r="IAP2" s="14"/>
      <c r="IAQ2" s="14"/>
      <c r="IAR2" s="14"/>
      <c r="IAS2" s="14"/>
      <c r="IAT2" s="14"/>
      <c r="IAU2" s="14"/>
      <c r="IAV2" s="14"/>
      <c r="IAW2" s="14"/>
      <c r="IAX2" s="14"/>
      <c r="IAY2" s="14"/>
      <c r="IAZ2" s="14"/>
      <c r="IBA2" s="14"/>
      <c r="IBB2" s="14"/>
      <c r="IBC2" s="14"/>
      <c r="IBD2" s="14"/>
      <c r="IBE2" s="14"/>
      <c r="IBF2" s="14"/>
      <c r="IBG2" s="14"/>
      <c r="IBH2" s="14"/>
      <c r="IBI2" s="14"/>
      <c r="IBJ2" s="14"/>
      <c r="IBK2" s="14"/>
      <c r="IBL2" s="14"/>
      <c r="IBM2" s="14"/>
      <c r="IBN2" s="14"/>
      <c r="IBO2" s="14"/>
      <c r="IBP2" s="14"/>
      <c r="IBQ2" s="14"/>
      <c r="IBR2" s="14"/>
      <c r="IBS2" s="14"/>
      <c r="IBT2" s="14"/>
      <c r="IBU2" s="14"/>
      <c r="IBV2" s="14"/>
      <c r="IBW2" s="14"/>
      <c r="IBX2" s="14"/>
      <c r="IBY2" s="14"/>
      <c r="IBZ2" s="14"/>
      <c r="ICA2" s="14"/>
      <c r="ICB2" s="14"/>
      <c r="ICC2" s="14"/>
      <c r="ICD2" s="14"/>
      <c r="ICE2" s="14"/>
      <c r="ICF2" s="14"/>
      <c r="ICG2" s="14"/>
      <c r="ICH2" s="14"/>
      <c r="ICI2" s="14"/>
      <c r="ICJ2" s="14"/>
      <c r="ICK2" s="14"/>
      <c r="ICL2" s="14"/>
      <c r="ICM2" s="14"/>
      <c r="ICN2" s="14"/>
      <c r="ICO2" s="14"/>
      <c r="ICP2" s="14"/>
      <c r="ICQ2" s="14"/>
      <c r="ICR2" s="14"/>
      <c r="ICS2" s="14"/>
      <c r="ICT2" s="14"/>
      <c r="ICU2" s="14"/>
      <c r="ICV2" s="14"/>
      <c r="ICW2" s="14"/>
      <c r="ICX2" s="14"/>
      <c r="ICY2" s="14"/>
      <c r="ICZ2" s="14"/>
      <c r="IDA2" s="14"/>
      <c r="IDB2" s="14"/>
      <c r="IDC2" s="14"/>
      <c r="IDD2" s="14"/>
      <c r="IDE2" s="14"/>
      <c r="IDF2" s="14"/>
      <c r="IDG2" s="14"/>
      <c r="IDH2" s="14"/>
      <c r="IDI2" s="14"/>
      <c r="IDJ2" s="14"/>
      <c r="IDK2" s="14"/>
      <c r="IDL2" s="14"/>
      <c r="IDM2" s="14"/>
      <c r="IDN2" s="14"/>
      <c r="IDO2" s="14"/>
      <c r="IDP2" s="14"/>
      <c r="IDQ2" s="14"/>
      <c r="IDR2" s="14"/>
      <c r="IDS2" s="14"/>
      <c r="IDT2" s="14"/>
      <c r="IDU2" s="14"/>
      <c r="IDV2" s="14"/>
      <c r="IDW2" s="14"/>
      <c r="IDX2" s="14"/>
      <c r="IDY2" s="14"/>
      <c r="IDZ2" s="14"/>
      <c r="IEA2" s="14"/>
      <c r="IEB2" s="14"/>
      <c r="IEC2" s="14"/>
      <c r="IED2" s="14"/>
      <c r="IEE2" s="14"/>
      <c r="IEF2" s="14"/>
      <c r="IEG2" s="14"/>
      <c r="IEH2" s="14"/>
      <c r="IEI2" s="14"/>
      <c r="IEJ2" s="14"/>
      <c r="IEK2" s="14"/>
      <c r="IEL2" s="14"/>
      <c r="IEM2" s="14"/>
      <c r="IEN2" s="14"/>
      <c r="IEO2" s="14"/>
      <c r="IEP2" s="14"/>
      <c r="IEQ2" s="14"/>
      <c r="IER2" s="14"/>
      <c r="IES2" s="14"/>
      <c r="IET2" s="14"/>
      <c r="IEU2" s="14"/>
      <c r="IEV2" s="14"/>
      <c r="IEW2" s="14"/>
      <c r="IEX2" s="14"/>
      <c r="IEY2" s="14"/>
      <c r="IEZ2" s="14"/>
      <c r="IFA2" s="14"/>
      <c r="IFB2" s="14"/>
      <c r="IFC2" s="14"/>
      <c r="IFD2" s="14"/>
      <c r="IFE2" s="14"/>
      <c r="IFF2" s="14"/>
      <c r="IFG2" s="14"/>
      <c r="IFH2" s="14"/>
      <c r="IFI2" s="14"/>
      <c r="IFJ2" s="14"/>
      <c r="IFK2" s="14"/>
      <c r="IFL2" s="14"/>
      <c r="IFM2" s="14"/>
      <c r="IFN2" s="14"/>
      <c r="IFO2" s="14"/>
      <c r="IFP2" s="14"/>
      <c r="IFQ2" s="14"/>
      <c r="IFR2" s="14"/>
      <c r="IFS2" s="14"/>
      <c r="IFT2" s="14"/>
      <c r="IFU2" s="14"/>
      <c r="IFV2" s="14"/>
      <c r="IFW2" s="14"/>
      <c r="IFX2" s="14"/>
      <c r="IFY2" s="14"/>
      <c r="IFZ2" s="14"/>
      <c r="IGA2" s="14"/>
      <c r="IGB2" s="14"/>
      <c r="IGC2" s="14"/>
      <c r="IGD2" s="14"/>
      <c r="IGE2" s="14"/>
      <c r="IGF2" s="14"/>
      <c r="IGG2" s="14"/>
      <c r="IGH2" s="14"/>
      <c r="IGI2" s="14"/>
      <c r="IGJ2" s="14"/>
      <c r="IGK2" s="14"/>
      <c r="IGL2" s="14"/>
      <c r="IGM2" s="14"/>
      <c r="IGN2" s="14"/>
      <c r="IGO2" s="14"/>
      <c r="IGP2" s="14"/>
      <c r="IGQ2" s="14"/>
      <c r="IGR2" s="14"/>
      <c r="IGS2" s="14"/>
      <c r="IGT2" s="14"/>
      <c r="IGU2" s="14"/>
      <c r="IGV2" s="14"/>
      <c r="IGW2" s="14"/>
      <c r="IGX2" s="14"/>
      <c r="IGY2" s="14"/>
      <c r="IGZ2" s="14"/>
      <c r="IHA2" s="14"/>
      <c r="IHB2" s="14"/>
      <c r="IHC2" s="14"/>
      <c r="IHD2" s="14"/>
      <c r="IHE2" s="14"/>
      <c r="IHF2" s="14"/>
      <c r="IHG2" s="14"/>
      <c r="IHH2" s="14"/>
      <c r="IHI2" s="14"/>
      <c r="IHJ2" s="14"/>
      <c r="IHK2" s="14"/>
      <c r="IHL2" s="14"/>
      <c r="IHM2" s="14"/>
      <c r="IHN2" s="14"/>
      <c r="IHO2" s="14"/>
      <c r="IHP2" s="14"/>
      <c r="IHQ2" s="14"/>
      <c r="IHR2" s="14"/>
      <c r="IHS2" s="14"/>
      <c r="IHT2" s="14"/>
      <c r="IHU2" s="14"/>
      <c r="IHV2" s="14"/>
      <c r="IHW2" s="14"/>
      <c r="IHX2" s="14"/>
      <c r="IHY2" s="14"/>
      <c r="IHZ2" s="14"/>
      <c r="IIA2" s="14"/>
      <c r="IIB2" s="14"/>
      <c r="IIC2" s="14"/>
      <c r="IID2" s="14"/>
      <c r="IIE2" s="14"/>
      <c r="IIF2" s="14"/>
      <c r="IIG2" s="14"/>
      <c r="IIH2" s="14"/>
      <c r="III2" s="14"/>
      <c r="IIJ2" s="14"/>
      <c r="IIK2" s="14"/>
      <c r="IIL2" s="14"/>
      <c r="IIM2" s="14"/>
      <c r="IIN2" s="14"/>
      <c r="IIO2" s="14"/>
      <c r="IIP2" s="14"/>
      <c r="IIQ2" s="14"/>
      <c r="IIR2" s="14"/>
      <c r="IIS2" s="14"/>
      <c r="IIT2" s="14"/>
      <c r="IIU2" s="14"/>
      <c r="IIV2" s="14"/>
      <c r="IIW2" s="14"/>
      <c r="IIX2" s="14"/>
      <c r="IIY2" s="14"/>
      <c r="IIZ2" s="14"/>
      <c r="IJA2" s="14"/>
      <c r="IJB2" s="14"/>
      <c r="IJC2" s="14"/>
      <c r="IJD2" s="14"/>
      <c r="IJE2" s="14"/>
      <c r="IJF2" s="14"/>
      <c r="IJG2" s="14"/>
      <c r="IJH2" s="14"/>
      <c r="IJI2" s="14"/>
      <c r="IJJ2" s="14"/>
      <c r="IJK2" s="14"/>
      <c r="IJL2" s="14"/>
      <c r="IJM2" s="14"/>
      <c r="IJN2" s="14"/>
      <c r="IJO2" s="14"/>
      <c r="IJP2" s="14"/>
      <c r="IJQ2" s="14"/>
      <c r="IJR2" s="14"/>
      <c r="IJS2" s="14"/>
      <c r="IJT2" s="14"/>
      <c r="IJU2" s="14"/>
      <c r="IJV2" s="14"/>
      <c r="IJW2" s="14"/>
      <c r="IJX2" s="14"/>
      <c r="IJY2" s="14"/>
      <c r="IJZ2" s="14"/>
      <c r="IKA2" s="14"/>
      <c r="IKB2" s="14"/>
      <c r="IKC2" s="14"/>
      <c r="IKD2" s="14"/>
      <c r="IKE2" s="14"/>
      <c r="IKF2" s="14"/>
      <c r="IKG2" s="14"/>
      <c r="IKH2" s="14"/>
      <c r="IKI2" s="14"/>
      <c r="IKJ2" s="14"/>
      <c r="IKK2" s="14"/>
      <c r="IKL2" s="14"/>
      <c r="IKM2" s="14"/>
      <c r="IKN2" s="14"/>
      <c r="IKO2" s="14"/>
      <c r="IKP2" s="14"/>
      <c r="IKQ2" s="14"/>
      <c r="IKR2" s="14"/>
      <c r="IKS2" s="14"/>
      <c r="IKT2" s="14"/>
      <c r="IKU2" s="14"/>
      <c r="IKV2" s="14"/>
      <c r="IKW2" s="14"/>
      <c r="IKX2" s="14"/>
      <c r="IKY2" s="14"/>
      <c r="IKZ2" s="14"/>
      <c r="ILA2" s="14"/>
      <c r="ILB2" s="14"/>
      <c r="ILC2" s="14"/>
      <c r="ILD2" s="14"/>
      <c r="ILE2" s="14"/>
      <c r="ILF2" s="14"/>
      <c r="ILG2" s="14"/>
      <c r="ILH2" s="14"/>
      <c r="ILI2" s="14"/>
      <c r="ILJ2" s="14"/>
      <c r="ILK2" s="14"/>
      <c r="ILL2" s="14"/>
      <c r="ILM2" s="14"/>
      <c r="ILN2" s="14"/>
      <c r="ILO2" s="14"/>
      <c r="ILP2" s="14"/>
      <c r="ILQ2" s="14"/>
      <c r="ILR2" s="14"/>
      <c r="ILS2" s="14"/>
      <c r="ILT2" s="14"/>
      <c r="ILU2" s="14"/>
      <c r="ILV2" s="14"/>
      <c r="ILW2" s="14"/>
      <c r="ILX2" s="14"/>
      <c r="ILY2" s="14"/>
      <c r="ILZ2" s="14"/>
      <c r="IMA2" s="14"/>
      <c r="IMB2" s="14"/>
      <c r="IMC2" s="14"/>
      <c r="IMD2" s="14"/>
      <c r="IME2" s="14"/>
      <c r="IMF2" s="14"/>
      <c r="IMG2" s="14"/>
      <c r="IMH2" s="14"/>
      <c r="IMI2" s="14"/>
      <c r="IMJ2" s="14"/>
      <c r="IMK2" s="14"/>
      <c r="IML2" s="14"/>
      <c r="IMM2" s="14"/>
      <c r="IMN2" s="14"/>
      <c r="IMO2" s="14"/>
      <c r="IMP2" s="14"/>
      <c r="IMQ2" s="14"/>
      <c r="IMR2" s="14"/>
      <c r="IMS2" s="14"/>
      <c r="IMT2" s="14"/>
      <c r="IMU2" s="14"/>
      <c r="IMV2" s="14"/>
      <c r="IMW2" s="14"/>
      <c r="IMX2" s="14"/>
      <c r="IMY2" s="14"/>
      <c r="IMZ2" s="14"/>
      <c r="INA2" s="14"/>
      <c r="INB2" s="14"/>
      <c r="INC2" s="14"/>
      <c r="IND2" s="14"/>
      <c r="INE2" s="14"/>
      <c r="INF2" s="14"/>
      <c r="ING2" s="14"/>
      <c r="INH2" s="14"/>
      <c r="INI2" s="14"/>
      <c r="INJ2" s="14"/>
      <c r="INK2" s="14"/>
      <c r="INL2" s="14"/>
      <c r="INM2" s="14"/>
      <c r="INN2" s="14"/>
      <c r="INO2" s="14"/>
      <c r="INP2" s="14"/>
      <c r="INQ2" s="14"/>
      <c r="INR2" s="14"/>
      <c r="INS2" s="14"/>
      <c r="INT2" s="14"/>
      <c r="INU2" s="14"/>
      <c r="INV2" s="14"/>
      <c r="INW2" s="14"/>
      <c r="INX2" s="14"/>
      <c r="INY2" s="14"/>
      <c r="INZ2" s="14"/>
      <c r="IOA2" s="14"/>
      <c r="IOB2" s="14"/>
      <c r="IOC2" s="14"/>
      <c r="IOD2" s="14"/>
      <c r="IOE2" s="14"/>
      <c r="IOF2" s="14"/>
      <c r="IOG2" s="14"/>
      <c r="IOH2" s="14"/>
      <c r="IOI2" s="14"/>
      <c r="IOJ2" s="14"/>
      <c r="IOK2" s="14"/>
      <c r="IOL2" s="14"/>
      <c r="IOM2" s="14"/>
      <c r="ION2" s="14"/>
      <c r="IOO2" s="14"/>
      <c r="IOP2" s="14"/>
      <c r="IOQ2" s="14"/>
      <c r="IOR2" s="14"/>
      <c r="IOS2" s="14"/>
      <c r="IOT2" s="14"/>
      <c r="IOU2" s="14"/>
      <c r="IOV2" s="14"/>
      <c r="IOW2" s="14"/>
      <c r="IOX2" s="14"/>
      <c r="IOY2" s="14"/>
      <c r="IOZ2" s="14"/>
      <c r="IPA2" s="14"/>
      <c r="IPB2" s="14"/>
      <c r="IPC2" s="14"/>
      <c r="IPD2" s="14"/>
      <c r="IPE2" s="14"/>
      <c r="IPF2" s="14"/>
      <c r="IPG2" s="14"/>
      <c r="IPH2" s="14"/>
      <c r="IPI2" s="14"/>
      <c r="IPJ2" s="14"/>
      <c r="IPK2" s="14"/>
      <c r="IPL2" s="14"/>
      <c r="IPM2" s="14"/>
      <c r="IPN2" s="14"/>
      <c r="IPO2" s="14"/>
      <c r="IPP2" s="14"/>
      <c r="IPQ2" s="14"/>
      <c r="IPR2" s="14"/>
      <c r="IPS2" s="14"/>
      <c r="IPT2" s="14"/>
      <c r="IPU2" s="14"/>
      <c r="IPV2" s="14"/>
      <c r="IPW2" s="14"/>
      <c r="IPX2" s="14"/>
      <c r="IPY2" s="14"/>
      <c r="IPZ2" s="14"/>
      <c r="IQA2" s="14"/>
      <c r="IQB2" s="14"/>
      <c r="IQC2" s="14"/>
      <c r="IQD2" s="14"/>
      <c r="IQE2" s="14"/>
      <c r="IQF2" s="14"/>
      <c r="IQG2" s="14"/>
      <c r="IQH2" s="14"/>
      <c r="IQI2" s="14"/>
      <c r="IQJ2" s="14"/>
      <c r="IQK2" s="14"/>
      <c r="IQL2" s="14"/>
      <c r="IQM2" s="14"/>
      <c r="IQN2" s="14"/>
      <c r="IQO2" s="14"/>
      <c r="IQP2" s="14"/>
      <c r="IQQ2" s="14"/>
      <c r="IQR2" s="14"/>
      <c r="IQS2" s="14"/>
      <c r="IQT2" s="14"/>
      <c r="IQU2" s="14"/>
      <c r="IQV2" s="14"/>
      <c r="IQW2" s="14"/>
      <c r="IQX2" s="14"/>
      <c r="IQY2" s="14"/>
      <c r="IQZ2" s="14"/>
      <c r="IRA2" s="14"/>
      <c r="IRB2" s="14"/>
      <c r="IRC2" s="14"/>
      <c r="IRD2" s="14"/>
      <c r="IRE2" s="14"/>
      <c r="IRF2" s="14"/>
      <c r="IRG2" s="14"/>
      <c r="IRH2" s="14"/>
      <c r="IRI2" s="14"/>
      <c r="IRJ2" s="14"/>
      <c r="IRK2" s="14"/>
      <c r="IRL2" s="14"/>
      <c r="IRM2" s="14"/>
      <c r="IRN2" s="14"/>
      <c r="IRO2" s="14"/>
      <c r="IRP2" s="14"/>
      <c r="IRQ2" s="14"/>
      <c r="IRR2" s="14"/>
      <c r="IRS2" s="14"/>
      <c r="IRT2" s="14"/>
      <c r="IRU2" s="14"/>
      <c r="IRV2" s="14"/>
      <c r="IRW2" s="14"/>
      <c r="IRX2" s="14"/>
      <c r="IRY2" s="14"/>
      <c r="IRZ2" s="14"/>
      <c r="ISA2" s="14"/>
      <c r="ISB2" s="14"/>
      <c r="ISC2" s="14"/>
      <c r="ISD2" s="14"/>
      <c r="ISE2" s="14"/>
      <c r="ISF2" s="14"/>
      <c r="ISG2" s="14"/>
      <c r="ISH2" s="14"/>
      <c r="ISI2" s="14"/>
      <c r="ISJ2" s="14"/>
      <c r="ISK2" s="14"/>
      <c r="ISL2" s="14"/>
      <c r="ISM2" s="14"/>
      <c r="ISN2" s="14"/>
      <c r="ISO2" s="14"/>
      <c r="ISP2" s="14"/>
      <c r="ISQ2" s="14"/>
      <c r="ISR2" s="14"/>
      <c r="ISS2" s="14"/>
      <c r="IST2" s="14"/>
      <c r="ISU2" s="14"/>
      <c r="ISV2" s="14"/>
      <c r="ISW2" s="14"/>
      <c r="ISX2" s="14"/>
      <c r="ISY2" s="14"/>
      <c r="ISZ2" s="14"/>
      <c r="ITA2" s="14"/>
      <c r="ITB2" s="14"/>
      <c r="ITC2" s="14"/>
      <c r="ITD2" s="14"/>
      <c r="ITE2" s="14"/>
      <c r="ITF2" s="14"/>
      <c r="ITG2" s="14"/>
      <c r="ITH2" s="14"/>
      <c r="ITI2" s="14"/>
      <c r="ITJ2" s="14"/>
      <c r="ITK2" s="14"/>
      <c r="ITL2" s="14"/>
      <c r="ITM2" s="14"/>
      <c r="ITN2" s="14"/>
      <c r="ITO2" s="14"/>
      <c r="ITP2" s="14"/>
      <c r="ITQ2" s="14"/>
      <c r="ITR2" s="14"/>
      <c r="ITS2" s="14"/>
      <c r="ITT2" s="14"/>
      <c r="ITU2" s="14"/>
      <c r="ITV2" s="14"/>
      <c r="ITW2" s="14"/>
      <c r="ITX2" s="14"/>
      <c r="ITY2" s="14"/>
      <c r="ITZ2" s="14"/>
      <c r="IUA2" s="14"/>
      <c r="IUB2" s="14"/>
      <c r="IUC2" s="14"/>
      <c r="IUD2" s="14"/>
      <c r="IUE2" s="14"/>
      <c r="IUF2" s="14"/>
      <c r="IUG2" s="14"/>
      <c r="IUH2" s="14"/>
      <c r="IUI2" s="14"/>
      <c r="IUJ2" s="14"/>
      <c r="IUK2" s="14"/>
      <c r="IUL2" s="14"/>
      <c r="IUM2" s="14"/>
      <c r="IUN2" s="14"/>
      <c r="IUO2" s="14"/>
      <c r="IUP2" s="14"/>
      <c r="IUQ2" s="14"/>
      <c r="IUR2" s="14"/>
      <c r="IUS2" s="14"/>
      <c r="IUT2" s="14"/>
      <c r="IUU2" s="14"/>
      <c r="IUV2" s="14"/>
      <c r="IUW2" s="14"/>
      <c r="IUX2" s="14"/>
      <c r="IUY2" s="14"/>
      <c r="IUZ2" s="14"/>
      <c r="IVA2" s="14"/>
      <c r="IVB2" s="14"/>
      <c r="IVC2" s="14"/>
      <c r="IVD2" s="14"/>
      <c r="IVE2" s="14"/>
      <c r="IVF2" s="14"/>
      <c r="IVG2" s="14"/>
      <c r="IVH2" s="14"/>
      <c r="IVI2" s="14"/>
      <c r="IVJ2" s="14"/>
      <c r="IVK2" s="14"/>
      <c r="IVL2" s="14"/>
      <c r="IVM2" s="14"/>
      <c r="IVN2" s="14"/>
      <c r="IVO2" s="14"/>
      <c r="IVP2" s="14"/>
      <c r="IVQ2" s="14"/>
      <c r="IVR2" s="14"/>
      <c r="IVS2" s="14"/>
      <c r="IVT2" s="14"/>
      <c r="IVU2" s="14"/>
      <c r="IVV2" s="14"/>
      <c r="IVW2" s="14"/>
      <c r="IVX2" s="14"/>
      <c r="IVY2" s="14"/>
      <c r="IVZ2" s="14"/>
      <c r="IWA2" s="14"/>
      <c r="IWB2" s="14"/>
      <c r="IWC2" s="14"/>
      <c r="IWD2" s="14"/>
      <c r="IWE2" s="14"/>
      <c r="IWF2" s="14"/>
      <c r="IWG2" s="14"/>
      <c r="IWH2" s="14"/>
      <c r="IWI2" s="14"/>
      <c r="IWJ2" s="14"/>
      <c r="IWK2" s="14"/>
      <c r="IWL2" s="14"/>
      <c r="IWM2" s="14"/>
      <c r="IWN2" s="14"/>
      <c r="IWO2" s="14"/>
      <c r="IWP2" s="14"/>
      <c r="IWQ2" s="14"/>
      <c r="IWR2" s="14"/>
      <c r="IWS2" s="14"/>
      <c r="IWT2" s="14"/>
      <c r="IWU2" s="14"/>
      <c r="IWV2" s="14"/>
      <c r="IWW2" s="14"/>
      <c r="IWX2" s="14"/>
      <c r="IWY2" s="14"/>
      <c r="IWZ2" s="14"/>
      <c r="IXA2" s="14"/>
      <c r="IXB2" s="14"/>
      <c r="IXC2" s="14"/>
      <c r="IXD2" s="14"/>
      <c r="IXE2" s="14"/>
      <c r="IXF2" s="14"/>
      <c r="IXG2" s="14"/>
      <c r="IXH2" s="14"/>
      <c r="IXI2" s="14"/>
      <c r="IXJ2" s="14"/>
      <c r="IXK2" s="14"/>
      <c r="IXL2" s="14"/>
      <c r="IXM2" s="14"/>
      <c r="IXN2" s="14"/>
      <c r="IXO2" s="14"/>
      <c r="IXP2" s="14"/>
      <c r="IXQ2" s="14"/>
      <c r="IXR2" s="14"/>
      <c r="IXS2" s="14"/>
      <c r="IXT2" s="14"/>
      <c r="IXU2" s="14"/>
      <c r="IXV2" s="14"/>
      <c r="IXW2" s="14"/>
      <c r="IXX2" s="14"/>
      <c r="IXY2" s="14"/>
      <c r="IXZ2" s="14"/>
      <c r="IYA2" s="14"/>
      <c r="IYB2" s="14"/>
      <c r="IYC2" s="14"/>
      <c r="IYD2" s="14"/>
      <c r="IYE2" s="14"/>
      <c r="IYF2" s="14"/>
      <c r="IYG2" s="14"/>
      <c r="IYH2" s="14"/>
      <c r="IYI2" s="14"/>
      <c r="IYJ2" s="14"/>
      <c r="IYK2" s="14"/>
      <c r="IYL2" s="14"/>
      <c r="IYM2" s="14"/>
      <c r="IYN2" s="14"/>
      <c r="IYO2" s="14"/>
      <c r="IYP2" s="14"/>
      <c r="IYQ2" s="14"/>
      <c r="IYR2" s="14"/>
      <c r="IYS2" s="14"/>
      <c r="IYT2" s="14"/>
      <c r="IYU2" s="14"/>
      <c r="IYV2" s="14"/>
      <c r="IYW2" s="14"/>
      <c r="IYX2" s="14"/>
      <c r="IYY2" s="14"/>
      <c r="IYZ2" s="14"/>
      <c r="IZA2" s="14"/>
      <c r="IZB2" s="14"/>
      <c r="IZC2" s="14"/>
      <c r="IZD2" s="14"/>
      <c r="IZE2" s="14"/>
      <c r="IZF2" s="14"/>
      <c r="IZG2" s="14"/>
      <c r="IZH2" s="14"/>
      <c r="IZI2" s="14"/>
      <c r="IZJ2" s="14"/>
      <c r="IZK2" s="14"/>
      <c r="IZL2" s="14"/>
      <c r="IZM2" s="14"/>
      <c r="IZN2" s="14"/>
      <c r="IZO2" s="14"/>
      <c r="IZP2" s="14"/>
      <c r="IZQ2" s="14"/>
      <c r="IZR2" s="14"/>
      <c r="IZS2" s="14"/>
      <c r="IZT2" s="14"/>
      <c r="IZU2" s="14"/>
      <c r="IZV2" s="14"/>
      <c r="IZW2" s="14"/>
      <c r="IZX2" s="14"/>
      <c r="IZY2" s="14"/>
      <c r="IZZ2" s="14"/>
      <c r="JAA2" s="14"/>
      <c r="JAB2" s="14"/>
      <c r="JAC2" s="14"/>
      <c r="JAD2" s="14"/>
      <c r="JAE2" s="14"/>
      <c r="JAF2" s="14"/>
      <c r="JAG2" s="14"/>
      <c r="JAH2" s="14"/>
      <c r="JAI2" s="14"/>
      <c r="JAJ2" s="14"/>
      <c r="JAK2" s="14"/>
      <c r="JAL2" s="14"/>
      <c r="JAM2" s="14"/>
      <c r="JAN2" s="14"/>
      <c r="JAO2" s="14"/>
      <c r="JAP2" s="14"/>
      <c r="JAQ2" s="14"/>
      <c r="JAR2" s="14"/>
      <c r="JAS2" s="14"/>
      <c r="JAT2" s="14"/>
      <c r="JAU2" s="14"/>
      <c r="JAV2" s="14"/>
      <c r="JAW2" s="14"/>
      <c r="JAX2" s="14"/>
      <c r="JAY2" s="14"/>
      <c r="JAZ2" s="14"/>
      <c r="JBA2" s="14"/>
      <c r="JBB2" s="14"/>
      <c r="JBC2" s="14"/>
      <c r="JBD2" s="14"/>
      <c r="JBE2" s="14"/>
      <c r="JBF2" s="14"/>
      <c r="JBG2" s="14"/>
      <c r="JBH2" s="14"/>
      <c r="JBI2" s="14"/>
      <c r="JBJ2" s="14"/>
      <c r="JBK2" s="14"/>
      <c r="JBL2" s="14"/>
      <c r="JBM2" s="14"/>
      <c r="JBN2" s="14"/>
      <c r="JBO2" s="14"/>
      <c r="JBP2" s="14"/>
      <c r="JBQ2" s="14"/>
      <c r="JBR2" s="14"/>
      <c r="JBS2" s="14"/>
      <c r="JBT2" s="14"/>
      <c r="JBU2" s="14"/>
      <c r="JBV2" s="14"/>
      <c r="JBW2" s="14"/>
      <c r="JBX2" s="14"/>
      <c r="JBY2" s="14"/>
      <c r="JBZ2" s="14"/>
      <c r="JCA2" s="14"/>
      <c r="JCB2" s="14"/>
      <c r="JCC2" s="14"/>
      <c r="JCD2" s="14"/>
      <c r="JCE2" s="14"/>
      <c r="JCF2" s="14"/>
      <c r="JCG2" s="14"/>
      <c r="JCH2" s="14"/>
      <c r="JCI2" s="14"/>
      <c r="JCJ2" s="14"/>
      <c r="JCK2" s="14"/>
      <c r="JCL2" s="14"/>
      <c r="JCM2" s="14"/>
      <c r="JCN2" s="14"/>
      <c r="JCO2" s="14"/>
      <c r="JCP2" s="14"/>
      <c r="JCQ2" s="14"/>
      <c r="JCR2" s="14"/>
      <c r="JCS2" s="14"/>
      <c r="JCT2" s="14"/>
      <c r="JCU2" s="14"/>
      <c r="JCV2" s="14"/>
      <c r="JCW2" s="14"/>
      <c r="JCX2" s="14"/>
      <c r="JCY2" s="14"/>
      <c r="JCZ2" s="14"/>
      <c r="JDA2" s="14"/>
      <c r="JDB2" s="14"/>
      <c r="JDC2" s="14"/>
      <c r="JDD2" s="14"/>
      <c r="JDE2" s="14"/>
      <c r="JDF2" s="14"/>
      <c r="JDG2" s="14"/>
      <c r="JDH2" s="14"/>
      <c r="JDI2" s="14"/>
      <c r="JDJ2" s="14"/>
      <c r="JDK2" s="14"/>
      <c r="JDL2" s="14"/>
      <c r="JDM2" s="14"/>
      <c r="JDN2" s="14"/>
      <c r="JDO2" s="14"/>
      <c r="JDP2" s="14"/>
      <c r="JDQ2" s="14"/>
      <c r="JDR2" s="14"/>
      <c r="JDS2" s="14"/>
      <c r="JDT2" s="14"/>
      <c r="JDU2" s="14"/>
      <c r="JDV2" s="14"/>
      <c r="JDW2" s="14"/>
      <c r="JDX2" s="14"/>
      <c r="JDY2" s="14"/>
      <c r="JDZ2" s="14"/>
      <c r="JEA2" s="14"/>
      <c r="JEB2" s="14"/>
      <c r="JEC2" s="14"/>
      <c r="JED2" s="14"/>
      <c r="JEE2" s="14"/>
      <c r="JEF2" s="14"/>
      <c r="JEG2" s="14"/>
      <c r="JEH2" s="14"/>
      <c r="JEI2" s="14"/>
      <c r="JEJ2" s="14"/>
      <c r="JEK2" s="14"/>
      <c r="JEL2" s="14"/>
      <c r="JEM2" s="14"/>
      <c r="JEN2" s="14"/>
      <c r="JEO2" s="14"/>
      <c r="JEP2" s="14"/>
      <c r="JEQ2" s="14"/>
      <c r="JER2" s="14"/>
      <c r="JES2" s="14"/>
      <c r="JET2" s="14"/>
      <c r="JEU2" s="14"/>
      <c r="JEV2" s="14"/>
      <c r="JEW2" s="14"/>
      <c r="JEX2" s="14"/>
      <c r="JEY2" s="14"/>
      <c r="JEZ2" s="14"/>
      <c r="JFA2" s="14"/>
      <c r="JFB2" s="14"/>
      <c r="JFC2" s="14"/>
      <c r="JFD2" s="14"/>
      <c r="JFE2" s="14"/>
      <c r="JFF2" s="14"/>
      <c r="JFG2" s="14"/>
      <c r="JFH2" s="14"/>
      <c r="JFI2" s="14"/>
      <c r="JFJ2" s="14"/>
      <c r="JFK2" s="14"/>
      <c r="JFL2" s="14"/>
      <c r="JFM2" s="14"/>
      <c r="JFN2" s="14"/>
      <c r="JFO2" s="14"/>
      <c r="JFP2" s="14"/>
      <c r="JFQ2" s="14"/>
      <c r="JFR2" s="14"/>
      <c r="JFS2" s="14"/>
      <c r="JFT2" s="14"/>
      <c r="JFU2" s="14"/>
      <c r="JFV2" s="14"/>
      <c r="JFW2" s="14"/>
      <c r="JFX2" s="14"/>
      <c r="JFY2" s="14"/>
      <c r="JFZ2" s="14"/>
      <c r="JGA2" s="14"/>
      <c r="JGB2" s="14"/>
      <c r="JGC2" s="14"/>
      <c r="JGD2" s="14"/>
      <c r="JGE2" s="14"/>
      <c r="JGF2" s="14"/>
      <c r="JGG2" s="14"/>
      <c r="JGH2" s="14"/>
      <c r="JGI2" s="14"/>
      <c r="JGJ2" s="14"/>
      <c r="JGK2" s="14"/>
      <c r="JGL2" s="14"/>
      <c r="JGM2" s="14"/>
      <c r="JGN2" s="14"/>
      <c r="JGO2" s="14"/>
      <c r="JGP2" s="14"/>
      <c r="JGQ2" s="14"/>
      <c r="JGR2" s="14"/>
      <c r="JGS2" s="14"/>
      <c r="JGT2" s="14"/>
      <c r="JGU2" s="14"/>
      <c r="JGV2" s="14"/>
      <c r="JGW2" s="14"/>
      <c r="JGX2" s="14"/>
      <c r="JGY2" s="14"/>
      <c r="JGZ2" s="14"/>
      <c r="JHA2" s="14"/>
      <c r="JHB2" s="14"/>
      <c r="JHC2" s="14"/>
      <c r="JHD2" s="14"/>
      <c r="JHE2" s="14"/>
      <c r="JHF2" s="14"/>
      <c r="JHG2" s="14"/>
      <c r="JHH2" s="14"/>
      <c r="JHI2" s="14"/>
      <c r="JHJ2" s="14"/>
      <c r="JHK2" s="14"/>
      <c r="JHL2" s="14"/>
      <c r="JHM2" s="14"/>
      <c r="JHN2" s="14"/>
      <c r="JHO2" s="14"/>
      <c r="JHP2" s="14"/>
      <c r="JHQ2" s="14"/>
      <c r="JHR2" s="14"/>
      <c r="JHS2" s="14"/>
      <c r="JHT2" s="14"/>
      <c r="JHU2" s="14"/>
      <c r="JHV2" s="14"/>
      <c r="JHW2" s="14"/>
      <c r="JHX2" s="14"/>
      <c r="JHY2" s="14"/>
      <c r="JHZ2" s="14"/>
      <c r="JIA2" s="14"/>
      <c r="JIB2" s="14"/>
      <c r="JIC2" s="14"/>
      <c r="JID2" s="14"/>
      <c r="JIE2" s="14"/>
      <c r="JIF2" s="14"/>
      <c r="JIG2" s="14"/>
      <c r="JIH2" s="14"/>
      <c r="JII2" s="14"/>
      <c r="JIJ2" s="14"/>
      <c r="JIK2" s="14"/>
      <c r="JIL2" s="14"/>
      <c r="JIM2" s="14"/>
      <c r="JIN2" s="14"/>
      <c r="JIO2" s="14"/>
      <c r="JIP2" s="14"/>
      <c r="JIQ2" s="14"/>
      <c r="JIR2" s="14"/>
      <c r="JIS2" s="14"/>
      <c r="JIT2" s="14"/>
      <c r="JIU2" s="14"/>
      <c r="JIV2" s="14"/>
      <c r="JIW2" s="14"/>
      <c r="JIX2" s="14"/>
      <c r="JIY2" s="14"/>
      <c r="JIZ2" s="14"/>
      <c r="JJA2" s="14"/>
      <c r="JJB2" s="14"/>
      <c r="JJC2" s="14"/>
      <c r="JJD2" s="14"/>
      <c r="JJE2" s="14"/>
      <c r="JJF2" s="14"/>
      <c r="JJG2" s="14"/>
      <c r="JJH2" s="14"/>
      <c r="JJI2" s="14"/>
      <c r="JJJ2" s="14"/>
      <c r="JJK2" s="14"/>
      <c r="JJL2" s="14"/>
      <c r="JJM2" s="14"/>
      <c r="JJN2" s="14"/>
      <c r="JJO2" s="14"/>
      <c r="JJP2" s="14"/>
      <c r="JJQ2" s="14"/>
      <c r="JJR2" s="14"/>
      <c r="JJS2" s="14"/>
      <c r="JJT2" s="14"/>
      <c r="JJU2" s="14"/>
      <c r="JJV2" s="14"/>
      <c r="JJW2" s="14"/>
      <c r="JJX2" s="14"/>
      <c r="JJY2" s="14"/>
      <c r="JJZ2" s="14"/>
      <c r="JKA2" s="14"/>
      <c r="JKB2" s="14"/>
      <c r="JKC2" s="14"/>
      <c r="JKD2" s="14"/>
      <c r="JKE2" s="14"/>
      <c r="JKF2" s="14"/>
      <c r="JKG2" s="14"/>
      <c r="JKH2" s="14"/>
      <c r="JKI2" s="14"/>
      <c r="JKJ2" s="14"/>
      <c r="JKK2" s="14"/>
      <c r="JKL2" s="14"/>
      <c r="JKM2" s="14"/>
      <c r="JKN2" s="14"/>
      <c r="JKO2" s="14"/>
      <c r="JKP2" s="14"/>
      <c r="JKQ2" s="14"/>
      <c r="JKR2" s="14"/>
      <c r="JKS2" s="14"/>
      <c r="JKT2" s="14"/>
      <c r="JKU2" s="14"/>
      <c r="JKV2" s="14"/>
      <c r="JKW2" s="14"/>
      <c r="JKX2" s="14"/>
      <c r="JKY2" s="14"/>
      <c r="JKZ2" s="14"/>
      <c r="JLA2" s="14"/>
      <c r="JLB2" s="14"/>
      <c r="JLC2" s="14"/>
      <c r="JLD2" s="14"/>
      <c r="JLE2" s="14"/>
      <c r="JLF2" s="14"/>
      <c r="JLG2" s="14"/>
      <c r="JLH2" s="14"/>
      <c r="JLI2" s="14"/>
      <c r="JLJ2" s="14"/>
      <c r="JLK2" s="14"/>
      <c r="JLL2" s="14"/>
      <c r="JLM2" s="14"/>
      <c r="JLN2" s="14"/>
      <c r="JLO2" s="14"/>
      <c r="JLP2" s="14"/>
      <c r="JLQ2" s="14"/>
      <c r="JLR2" s="14"/>
      <c r="JLS2" s="14"/>
      <c r="JLT2" s="14"/>
      <c r="JLU2" s="14"/>
      <c r="JLV2" s="14"/>
      <c r="JLW2" s="14"/>
      <c r="JLX2" s="14"/>
      <c r="JLY2" s="14"/>
      <c r="JLZ2" s="14"/>
      <c r="JMA2" s="14"/>
      <c r="JMB2" s="14"/>
      <c r="JMC2" s="14"/>
      <c r="JMD2" s="14"/>
      <c r="JME2" s="14"/>
      <c r="JMF2" s="14"/>
      <c r="JMG2" s="14"/>
      <c r="JMH2" s="14"/>
      <c r="JMI2" s="14"/>
      <c r="JMJ2" s="14"/>
      <c r="JMK2" s="14"/>
      <c r="JML2" s="14"/>
      <c r="JMM2" s="14"/>
      <c r="JMN2" s="14"/>
      <c r="JMO2" s="14"/>
      <c r="JMP2" s="14"/>
      <c r="JMQ2" s="14"/>
      <c r="JMR2" s="14"/>
      <c r="JMS2" s="14"/>
      <c r="JMT2" s="14"/>
      <c r="JMU2" s="14"/>
      <c r="JMV2" s="14"/>
      <c r="JMW2" s="14"/>
      <c r="JMX2" s="14"/>
      <c r="JMY2" s="14"/>
      <c r="JMZ2" s="14"/>
      <c r="JNA2" s="14"/>
      <c r="JNB2" s="14"/>
      <c r="JNC2" s="14"/>
      <c r="JND2" s="14"/>
      <c r="JNE2" s="14"/>
      <c r="JNF2" s="14"/>
      <c r="JNG2" s="14"/>
      <c r="JNH2" s="14"/>
      <c r="JNI2" s="14"/>
      <c r="JNJ2" s="14"/>
      <c r="JNK2" s="14"/>
      <c r="JNL2" s="14"/>
      <c r="JNM2" s="14"/>
      <c r="JNN2" s="14"/>
      <c r="JNO2" s="14"/>
      <c r="JNP2" s="14"/>
      <c r="JNQ2" s="14"/>
      <c r="JNR2" s="14"/>
      <c r="JNS2" s="14"/>
      <c r="JNT2" s="14"/>
      <c r="JNU2" s="14"/>
      <c r="JNV2" s="14"/>
      <c r="JNW2" s="14"/>
      <c r="JNX2" s="14"/>
      <c r="JNY2" s="14"/>
      <c r="JNZ2" s="14"/>
      <c r="JOA2" s="14"/>
      <c r="JOB2" s="14"/>
      <c r="JOC2" s="14"/>
      <c r="JOD2" s="14"/>
      <c r="JOE2" s="14"/>
      <c r="JOF2" s="14"/>
      <c r="JOG2" s="14"/>
      <c r="JOH2" s="14"/>
      <c r="JOI2" s="14"/>
      <c r="JOJ2" s="14"/>
      <c r="JOK2" s="14"/>
      <c r="JOL2" s="14"/>
      <c r="JOM2" s="14"/>
      <c r="JON2" s="14"/>
      <c r="JOO2" s="14"/>
      <c r="JOP2" s="14"/>
      <c r="JOQ2" s="14"/>
      <c r="JOR2" s="14"/>
      <c r="JOS2" s="14"/>
      <c r="JOT2" s="14"/>
      <c r="JOU2" s="14"/>
      <c r="JOV2" s="14"/>
      <c r="JOW2" s="14"/>
      <c r="JOX2" s="14"/>
      <c r="JOY2" s="14"/>
      <c r="JOZ2" s="14"/>
      <c r="JPA2" s="14"/>
      <c r="JPB2" s="14"/>
      <c r="JPC2" s="14"/>
      <c r="JPD2" s="14"/>
      <c r="JPE2" s="14"/>
      <c r="JPF2" s="14"/>
      <c r="JPG2" s="14"/>
      <c r="JPH2" s="14"/>
      <c r="JPI2" s="14"/>
      <c r="JPJ2" s="14"/>
      <c r="JPK2" s="14"/>
      <c r="JPL2" s="14"/>
      <c r="JPM2" s="14"/>
      <c r="JPN2" s="14"/>
      <c r="JPO2" s="14"/>
      <c r="JPP2" s="14"/>
      <c r="JPQ2" s="14"/>
      <c r="JPR2" s="14"/>
      <c r="JPS2" s="14"/>
      <c r="JPT2" s="14"/>
      <c r="JPU2" s="14"/>
      <c r="JPV2" s="14"/>
      <c r="JPW2" s="14"/>
      <c r="JPX2" s="14"/>
      <c r="JPY2" s="14"/>
      <c r="JPZ2" s="14"/>
      <c r="JQA2" s="14"/>
      <c r="JQB2" s="14"/>
      <c r="JQC2" s="14"/>
      <c r="JQD2" s="14"/>
      <c r="JQE2" s="14"/>
      <c r="JQF2" s="14"/>
      <c r="JQG2" s="14"/>
      <c r="JQH2" s="14"/>
      <c r="JQI2" s="14"/>
      <c r="JQJ2" s="14"/>
      <c r="JQK2" s="14"/>
      <c r="JQL2" s="14"/>
      <c r="JQM2" s="14"/>
      <c r="JQN2" s="14"/>
      <c r="JQO2" s="14"/>
      <c r="JQP2" s="14"/>
      <c r="JQQ2" s="14"/>
      <c r="JQR2" s="14"/>
      <c r="JQS2" s="14"/>
      <c r="JQT2" s="14"/>
      <c r="JQU2" s="14"/>
      <c r="JQV2" s="14"/>
      <c r="JQW2" s="14"/>
      <c r="JQX2" s="14"/>
      <c r="JQY2" s="14"/>
      <c r="JQZ2" s="14"/>
      <c r="JRA2" s="14"/>
      <c r="JRB2" s="14"/>
      <c r="JRC2" s="14"/>
      <c r="JRD2" s="14"/>
      <c r="JRE2" s="14"/>
      <c r="JRF2" s="14"/>
      <c r="JRG2" s="14"/>
      <c r="JRH2" s="14"/>
      <c r="JRI2" s="14"/>
      <c r="JRJ2" s="14"/>
      <c r="JRK2" s="14"/>
      <c r="JRL2" s="14"/>
      <c r="JRM2" s="14"/>
      <c r="JRN2" s="14"/>
      <c r="JRO2" s="14"/>
      <c r="JRP2" s="14"/>
      <c r="JRQ2" s="14"/>
      <c r="JRR2" s="14"/>
      <c r="JRS2" s="14"/>
      <c r="JRT2" s="14"/>
      <c r="JRU2" s="14"/>
      <c r="JRV2" s="14"/>
      <c r="JRW2" s="14"/>
      <c r="JRX2" s="14"/>
      <c r="JRY2" s="14"/>
      <c r="JRZ2" s="14"/>
      <c r="JSA2" s="14"/>
      <c r="JSB2" s="14"/>
      <c r="JSC2" s="14"/>
      <c r="JSD2" s="14"/>
      <c r="JSE2" s="14"/>
      <c r="JSF2" s="14"/>
      <c r="JSG2" s="14"/>
      <c r="JSH2" s="14"/>
      <c r="JSI2" s="14"/>
      <c r="JSJ2" s="14"/>
      <c r="JSK2" s="14"/>
      <c r="JSL2" s="14"/>
      <c r="JSM2" s="14"/>
      <c r="JSN2" s="14"/>
      <c r="JSO2" s="14"/>
      <c r="JSP2" s="14"/>
      <c r="JSQ2" s="14"/>
      <c r="JSR2" s="14"/>
      <c r="JSS2" s="14"/>
      <c r="JST2" s="14"/>
      <c r="JSU2" s="14"/>
      <c r="JSV2" s="14"/>
      <c r="JSW2" s="14"/>
      <c r="JSX2" s="14"/>
      <c r="JSY2" s="14"/>
      <c r="JSZ2" s="14"/>
      <c r="JTA2" s="14"/>
      <c r="JTB2" s="14"/>
      <c r="JTC2" s="14"/>
      <c r="JTD2" s="14"/>
      <c r="JTE2" s="14"/>
      <c r="JTF2" s="14"/>
      <c r="JTG2" s="14"/>
      <c r="JTH2" s="14"/>
      <c r="JTI2" s="14"/>
      <c r="JTJ2" s="14"/>
      <c r="JTK2" s="14"/>
      <c r="JTL2" s="14"/>
      <c r="JTM2" s="14"/>
      <c r="JTN2" s="14"/>
      <c r="JTO2" s="14"/>
      <c r="JTP2" s="14"/>
      <c r="JTQ2" s="14"/>
      <c r="JTR2" s="14"/>
      <c r="JTS2" s="14"/>
      <c r="JTT2" s="14"/>
      <c r="JTU2" s="14"/>
      <c r="JTV2" s="14"/>
      <c r="JTW2" s="14"/>
      <c r="JTX2" s="14"/>
      <c r="JTY2" s="14"/>
      <c r="JTZ2" s="14"/>
      <c r="JUA2" s="14"/>
      <c r="JUB2" s="14"/>
      <c r="JUC2" s="14"/>
      <c r="JUD2" s="14"/>
      <c r="JUE2" s="14"/>
      <c r="JUF2" s="14"/>
      <c r="JUG2" s="14"/>
      <c r="JUH2" s="14"/>
      <c r="JUI2" s="14"/>
      <c r="JUJ2" s="14"/>
      <c r="JUK2" s="14"/>
      <c r="JUL2" s="14"/>
      <c r="JUM2" s="14"/>
      <c r="JUN2" s="14"/>
      <c r="JUO2" s="14"/>
      <c r="JUP2" s="14"/>
      <c r="JUQ2" s="14"/>
      <c r="JUR2" s="14"/>
      <c r="JUS2" s="14"/>
      <c r="JUT2" s="14"/>
      <c r="JUU2" s="14"/>
      <c r="JUV2" s="14"/>
      <c r="JUW2" s="14"/>
      <c r="JUX2" s="14"/>
      <c r="JUY2" s="14"/>
      <c r="JUZ2" s="14"/>
      <c r="JVA2" s="14"/>
      <c r="JVB2" s="14"/>
      <c r="JVC2" s="14"/>
      <c r="JVD2" s="14"/>
      <c r="JVE2" s="14"/>
      <c r="JVF2" s="14"/>
      <c r="JVG2" s="14"/>
      <c r="JVH2" s="14"/>
      <c r="JVI2" s="14"/>
      <c r="JVJ2" s="14"/>
      <c r="JVK2" s="14"/>
      <c r="JVL2" s="14"/>
      <c r="JVM2" s="14"/>
      <c r="JVN2" s="14"/>
      <c r="JVO2" s="14"/>
      <c r="JVP2" s="14"/>
      <c r="JVQ2" s="14"/>
      <c r="JVR2" s="14"/>
      <c r="JVS2" s="14"/>
      <c r="JVT2" s="14"/>
      <c r="JVU2" s="14"/>
      <c r="JVV2" s="14"/>
      <c r="JVW2" s="14"/>
      <c r="JVX2" s="14"/>
      <c r="JVY2" s="14"/>
      <c r="JVZ2" s="14"/>
      <c r="JWA2" s="14"/>
      <c r="JWB2" s="14"/>
      <c r="JWC2" s="14"/>
      <c r="JWD2" s="14"/>
      <c r="JWE2" s="14"/>
      <c r="JWF2" s="14"/>
      <c r="JWG2" s="14"/>
      <c r="JWH2" s="14"/>
      <c r="JWI2" s="14"/>
      <c r="JWJ2" s="14"/>
      <c r="JWK2" s="14"/>
      <c r="JWL2" s="14"/>
      <c r="JWM2" s="14"/>
      <c r="JWN2" s="14"/>
      <c r="JWO2" s="14"/>
      <c r="JWP2" s="14"/>
      <c r="JWQ2" s="14"/>
      <c r="JWR2" s="14"/>
      <c r="JWS2" s="14"/>
      <c r="JWT2" s="14"/>
      <c r="JWU2" s="14"/>
      <c r="JWV2" s="14"/>
      <c r="JWW2" s="14"/>
      <c r="JWX2" s="14"/>
      <c r="JWY2" s="14"/>
      <c r="JWZ2" s="14"/>
      <c r="JXA2" s="14"/>
      <c r="JXB2" s="14"/>
      <c r="JXC2" s="14"/>
      <c r="JXD2" s="14"/>
      <c r="JXE2" s="14"/>
      <c r="JXF2" s="14"/>
      <c r="JXG2" s="14"/>
      <c r="JXH2" s="14"/>
      <c r="JXI2" s="14"/>
      <c r="JXJ2" s="14"/>
      <c r="JXK2" s="14"/>
      <c r="JXL2" s="14"/>
      <c r="JXM2" s="14"/>
      <c r="JXN2" s="14"/>
      <c r="JXO2" s="14"/>
      <c r="JXP2" s="14"/>
      <c r="JXQ2" s="14"/>
      <c r="JXR2" s="14"/>
      <c r="JXS2" s="14"/>
      <c r="JXT2" s="14"/>
      <c r="JXU2" s="14"/>
      <c r="JXV2" s="14"/>
      <c r="JXW2" s="14"/>
      <c r="JXX2" s="14"/>
      <c r="JXY2" s="14"/>
      <c r="JXZ2" s="14"/>
      <c r="JYA2" s="14"/>
      <c r="JYB2" s="14"/>
      <c r="JYC2" s="14"/>
      <c r="JYD2" s="14"/>
      <c r="JYE2" s="14"/>
      <c r="JYF2" s="14"/>
      <c r="JYG2" s="14"/>
      <c r="JYH2" s="14"/>
      <c r="JYI2" s="14"/>
      <c r="JYJ2" s="14"/>
      <c r="JYK2" s="14"/>
      <c r="JYL2" s="14"/>
      <c r="JYM2" s="14"/>
      <c r="JYN2" s="14"/>
      <c r="JYO2" s="14"/>
      <c r="JYP2" s="14"/>
      <c r="JYQ2" s="14"/>
      <c r="JYR2" s="14"/>
      <c r="JYS2" s="14"/>
      <c r="JYT2" s="14"/>
      <c r="JYU2" s="14"/>
      <c r="JYV2" s="14"/>
      <c r="JYW2" s="14"/>
      <c r="JYX2" s="14"/>
      <c r="JYY2" s="14"/>
      <c r="JYZ2" s="14"/>
      <c r="JZA2" s="14"/>
      <c r="JZB2" s="14"/>
      <c r="JZC2" s="14"/>
      <c r="JZD2" s="14"/>
      <c r="JZE2" s="14"/>
      <c r="JZF2" s="14"/>
      <c r="JZG2" s="14"/>
      <c r="JZH2" s="14"/>
      <c r="JZI2" s="14"/>
      <c r="JZJ2" s="14"/>
      <c r="JZK2" s="14"/>
      <c r="JZL2" s="14"/>
      <c r="JZM2" s="14"/>
      <c r="JZN2" s="14"/>
      <c r="JZO2" s="14"/>
      <c r="JZP2" s="14"/>
      <c r="JZQ2" s="14"/>
      <c r="JZR2" s="14"/>
      <c r="JZS2" s="14"/>
      <c r="JZT2" s="14"/>
      <c r="JZU2" s="14"/>
      <c r="JZV2" s="14"/>
      <c r="JZW2" s="14"/>
      <c r="JZX2" s="14"/>
      <c r="JZY2" s="14"/>
      <c r="JZZ2" s="14"/>
      <c r="KAA2" s="14"/>
      <c r="KAB2" s="14"/>
      <c r="KAC2" s="14"/>
      <c r="KAD2" s="14"/>
      <c r="KAE2" s="14"/>
      <c r="KAF2" s="14"/>
      <c r="KAG2" s="14"/>
      <c r="KAH2" s="14"/>
      <c r="KAI2" s="14"/>
      <c r="KAJ2" s="14"/>
      <c r="KAK2" s="14"/>
      <c r="KAL2" s="14"/>
      <c r="KAM2" s="14"/>
      <c r="KAN2" s="14"/>
      <c r="KAO2" s="14"/>
      <c r="KAP2" s="14"/>
      <c r="KAQ2" s="14"/>
      <c r="KAR2" s="14"/>
      <c r="KAS2" s="14"/>
      <c r="KAT2" s="14"/>
      <c r="KAU2" s="14"/>
      <c r="KAV2" s="14"/>
      <c r="KAW2" s="14"/>
      <c r="KAX2" s="14"/>
      <c r="KAY2" s="14"/>
      <c r="KAZ2" s="14"/>
      <c r="KBA2" s="14"/>
      <c r="KBB2" s="14"/>
      <c r="KBC2" s="14"/>
      <c r="KBD2" s="14"/>
      <c r="KBE2" s="14"/>
      <c r="KBF2" s="14"/>
      <c r="KBG2" s="14"/>
      <c r="KBH2" s="14"/>
      <c r="KBI2" s="14"/>
      <c r="KBJ2" s="14"/>
      <c r="KBK2" s="14"/>
      <c r="KBL2" s="14"/>
      <c r="KBM2" s="14"/>
      <c r="KBN2" s="14"/>
      <c r="KBO2" s="14"/>
      <c r="KBP2" s="14"/>
      <c r="KBQ2" s="14"/>
      <c r="KBR2" s="14"/>
      <c r="KBS2" s="14"/>
      <c r="KBT2" s="14"/>
      <c r="KBU2" s="14"/>
      <c r="KBV2" s="14"/>
      <c r="KBW2" s="14"/>
      <c r="KBX2" s="14"/>
      <c r="KBY2" s="14"/>
      <c r="KBZ2" s="14"/>
      <c r="KCA2" s="14"/>
      <c r="KCB2" s="14"/>
      <c r="KCC2" s="14"/>
      <c r="KCD2" s="14"/>
      <c r="KCE2" s="14"/>
      <c r="KCF2" s="14"/>
      <c r="KCG2" s="14"/>
      <c r="KCH2" s="14"/>
      <c r="KCI2" s="14"/>
      <c r="KCJ2" s="14"/>
      <c r="KCK2" s="14"/>
      <c r="KCL2" s="14"/>
      <c r="KCM2" s="14"/>
      <c r="KCN2" s="14"/>
      <c r="KCO2" s="14"/>
      <c r="KCP2" s="14"/>
      <c r="KCQ2" s="14"/>
      <c r="KCR2" s="14"/>
      <c r="KCS2" s="14"/>
      <c r="KCT2" s="14"/>
      <c r="KCU2" s="14"/>
      <c r="KCV2" s="14"/>
      <c r="KCW2" s="14"/>
      <c r="KCX2" s="14"/>
      <c r="KCY2" s="14"/>
      <c r="KCZ2" s="14"/>
      <c r="KDA2" s="14"/>
      <c r="KDB2" s="14"/>
      <c r="KDC2" s="14"/>
      <c r="KDD2" s="14"/>
      <c r="KDE2" s="14"/>
      <c r="KDF2" s="14"/>
      <c r="KDG2" s="14"/>
      <c r="KDH2" s="14"/>
      <c r="KDI2" s="14"/>
      <c r="KDJ2" s="14"/>
      <c r="KDK2" s="14"/>
      <c r="KDL2" s="14"/>
      <c r="KDM2" s="14"/>
      <c r="KDN2" s="14"/>
      <c r="KDO2" s="14"/>
      <c r="KDP2" s="14"/>
      <c r="KDQ2" s="14"/>
      <c r="KDR2" s="14"/>
      <c r="KDS2" s="14"/>
      <c r="KDT2" s="14"/>
      <c r="KDU2" s="14"/>
      <c r="KDV2" s="14"/>
      <c r="KDW2" s="14"/>
      <c r="KDX2" s="14"/>
      <c r="KDY2" s="14"/>
      <c r="KDZ2" s="14"/>
      <c r="KEA2" s="14"/>
      <c r="KEB2" s="14"/>
      <c r="KEC2" s="14"/>
      <c r="KED2" s="14"/>
      <c r="KEE2" s="14"/>
      <c r="KEF2" s="14"/>
      <c r="KEG2" s="14"/>
      <c r="KEH2" s="14"/>
      <c r="KEI2" s="14"/>
      <c r="KEJ2" s="14"/>
      <c r="KEK2" s="14"/>
      <c r="KEL2" s="14"/>
      <c r="KEM2" s="14"/>
      <c r="KEN2" s="14"/>
      <c r="KEO2" s="14"/>
      <c r="KEP2" s="14"/>
      <c r="KEQ2" s="14"/>
      <c r="KER2" s="14"/>
      <c r="KES2" s="14"/>
      <c r="KET2" s="14"/>
      <c r="KEU2" s="14"/>
      <c r="KEV2" s="14"/>
      <c r="KEW2" s="14"/>
      <c r="KEX2" s="14"/>
      <c r="KEY2" s="14"/>
      <c r="KEZ2" s="14"/>
      <c r="KFA2" s="14"/>
      <c r="KFB2" s="14"/>
      <c r="KFC2" s="14"/>
      <c r="KFD2" s="14"/>
      <c r="KFE2" s="14"/>
      <c r="KFF2" s="14"/>
      <c r="KFG2" s="14"/>
      <c r="KFH2" s="14"/>
      <c r="KFI2" s="14"/>
      <c r="KFJ2" s="14"/>
      <c r="KFK2" s="14"/>
      <c r="KFL2" s="14"/>
      <c r="KFM2" s="14"/>
      <c r="KFN2" s="14"/>
      <c r="KFO2" s="14"/>
      <c r="KFP2" s="14"/>
      <c r="KFQ2" s="14"/>
      <c r="KFR2" s="14"/>
      <c r="KFS2" s="14"/>
      <c r="KFT2" s="14"/>
      <c r="KFU2" s="14"/>
      <c r="KFV2" s="14"/>
      <c r="KFW2" s="14"/>
      <c r="KFX2" s="14"/>
      <c r="KFY2" s="14"/>
      <c r="KFZ2" s="14"/>
      <c r="KGA2" s="14"/>
      <c r="KGB2" s="14"/>
      <c r="KGC2" s="14"/>
      <c r="KGD2" s="14"/>
      <c r="KGE2" s="14"/>
      <c r="KGF2" s="14"/>
      <c r="KGG2" s="14"/>
      <c r="KGH2" s="14"/>
      <c r="KGI2" s="14"/>
      <c r="KGJ2" s="14"/>
      <c r="KGK2" s="14"/>
      <c r="KGL2" s="14"/>
      <c r="KGM2" s="14"/>
      <c r="KGN2" s="14"/>
      <c r="KGO2" s="14"/>
      <c r="KGP2" s="14"/>
      <c r="KGQ2" s="14"/>
      <c r="KGR2" s="14"/>
      <c r="KGS2" s="14"/>
      <c r="KGT2" s="14"/>
      <c r="KGU2" s="14"/>
      <c r="KGV2" s="14"/>
      <c r="KGW2" s="14"/>
      <c r="KGX2" s="14"/>
      <c r="KGY2" s="14"/>
      <c r="KGZ2" s="14"/>
      <c r="KHA2" s="14"/>
      <c r="KHB2" s="14"/>
      <c r="KHC2" s="14"/>
      <c r="KHD2" s="14"/>
      <c r="KHE2" s="14"/>
      <c r="KHF2" s="14"/>
      <c r="KHG2" s="14"/>
      <c r="KHH2" s="14"/>
      <c r="KHI2" s="14"/>
      <c r="KHJ2" s="14"/>
      <c r="KHK2" s="14"/>
      <c r="KHL2" s="14"/>
      <c r="KHM2" s="14"/>
      <c r="KHN2" s="14"/>
      <c r="KHO2" s="14"/>
      <c r="KHP2" s="14"/>
      <c r="KHQ2" s="14"/>
      <c r="KHR2" s="14"/>
      <c r="KHS2" s="14"/>
      <c r="KHT2" s="14"/>
      <c r="KHU2" s="14"/>
      <c r="KHV2" s="14"/>
      <c r="KHW2" s="14"/>
      <c r="KHX2" s="14"/>
      <c r="KHY2" s="14"/>
      <c r="KHZ2" s="14"/>
      <c r="KIA2" s="14"/>
      <c r="KIB2" s="14"/>
      <c r="KIC2" s="14"/>
      <c r="KID2" s="14"/>
      <c r="KIE2" s="14"/>
      <c r="KIF2" s="14"/>
      <c r="KIG2" s="14"/>
      <c r="KIH2" s="14"/>
      <c r="KII2" s="14"/>
      <c r="KIJ2" s="14"/>
      <c r="KIK2" s="14"/>
      <c r="KIL2" s="14"/>
      <c r="KIM2" s="14"/>
      <c r="KIN2" s="14"/>
      <c r="KIO2" s="14"/>
      <c r="KIP2" s="14"/>
      <c r="KIQ2" s="14"/>
      <c r="KIR2" s="14"/>
      <c r="KIS2" s="14"/>
      <c r="KIT2" s="14"/>
      <c r="KIU2" s="14"/>
      <c r="KIV2" s="14"/>
      <c r="KIW2" s="14"/>
      <c r="KIX2" s="14"/>
      <c r="KIY2" s="14"/>
      <c r="KIZ2" s="14"/>
      <c r="KJA2" s="14"/>
      <c r="KJB2" s="14"/>
      <c r="KJC2" s="14"/>
      <c r="KJD2" s="14"/>
      <c r="KJE2" s="14"/>
      <c r="KJF2" s="14"/>
      <c r="KJG2" s="14"/>
      <c r="KJH2" s="14"/>
      <c r="KJI2" s="14"/>
      <c r="KJJ2" s="14"/>
      <c r="KJK2" s="14"/>
      <c r="KJL2" s="14"/>
      <c r="KJM2" s="14"/>
      <c r="KJN2" s="14"/>
      <c r="KJO2" s="14"/>
      <c r="KJP2" s="14"/>
      <c r="KJQ2" s="14"/>
      <c r="KJR2" s="14"/>
      <c r="KJS2" s="14"/>
      <c r="KJT2" s="14"/>
      <c r="KJU2" s="14"/>
      <c r="KJV2" s="14"/>
      <c r="KJW2" s="14"/>
      <c r="KJX2" s="14"/>
      <c r="KJY2" s="14"/>
      <c r="KJZ2" s="14"/>
      <c r="KKA2" s="14"/>
      <c r="KKB2" s="14"/>
      <c r="KKC2" s="14"/>
      <c r="KKD2" s="14"/>
      <c r="KKE2" s="14"/>
      <c r="KKF2" s="14"/>
      <c r="KKG2" s="14"/>
      <c r="KKH2" s="14"/>
      <c r="KKI2" s="14"/>
      <c r="KKJ2" s="14"/>
      <c r="KKK2" s="14"/>
      <c r="KKL2" s="14"/>
      <c r="KKM2" s="14"/>
      <c r="KKN2" s="14"/>
      <c r="KKO2" s="14"/>
      <c r="KKP2" s="14"/>
      <c r="KKQ2" s="14"/>
      <c r="KKR2" s="14"/>
      <c r="KKS2" s="14"/>
      <c r="KKT2" s="14"/>
      <c r="KKU2" s="14"/>
      <c r="KKV2" s="14"/>
      <c r="KKW2" s="14"/>
      <c r="KKX2" s="14"/>
      <c r="KKY2" s="14"/>
      <c r="KKZ2" s="14"/>
      <c r="KLA2" s="14"/>
      <c r="KLB2" s="14"/>
      <c r="KLC2" s="14"/>
      <c r="KLD2" s="14"/>
      <c r="KLE2" s="14"/>
      <c r="KLF2" s="14"/>
      <c r="KLG2" s="14"/>
      <c r="KLH2" s="14"/>
      <c r="KLI2" s="14"/>
      <c r="KLJ2" s="14"/>
      <c r="KLK2" s="14"/>
      <c r="KLL2" s="14"/>
      <c r="KLM2" s="14"/>
      <c r="KLN2" s="14"/>
      <c r="KLO2" s="14"/>
      <c r="KLP2" s="14"/>
      <c r="KLQ2" s="14"/>
      <c r="KLR2" s="14"/>
      <c r="KLS2" s="14"/>
      <c r="KLT2" s="14"/>
      <c r="KLU2" s="14"/>
      <c r="KLV2" s="14"/>
      <c r="KLW2" s="14"/>
      <c r="KLX2" s="14"/>
      <c r="KLY2" s="14"/>
      <c r="KLZ2" s="14"/>
      <c r="KMA2" s="14"/>
      <c r="KMB2" s="14"/>
      <c r="KMC2" s="14"/>
      <c r="KMD2" s="14"/>
      <c r="KME2" s="14"/>
      <c r="KMF2" s="14"/>
      <c r="KMG2" s="14"/>
      <c r="KMH2" s="14"/>
      <c r="KMI2" s="14"/>
      <c r="KMJ2" s="14"/>
      <c r="KMK2" s="14"/>
      <c r="KML2" s="14"/>
      <c r="KMM2" s="14"/>
      <c r="KMN2" s="14"/>
      <c r="KMO2" s="14"/>
      <c r="KMP2" s="14"/>
      <c r="KMQ2" s="14"/>
      <c r="KMR2" s="14"/>
      <c r="KMS2" s="14"/>
      <c r="KMT2" s="14"/>
      <c r="KMU2" s="14"/>
      <c r="KMV2" s="14"/>
      <c r="KMW2" s="14"/>
      <c r="KMX2" s="14"/>
      <c r="KMY2" s="14"/>
      <c r="KMZ2" s="14"/>
      <c r="KNA2" s="14"/>
      <c r="KNB2" s="14"/>
      <c r="KNC2" s="14"/>
      <c r="KND2" s="14"/>
      <c r="KNE2" s="14"/>
      <c r="KNF2" s="14"/>
      <c r="KNG2" s="14"/>
      <c r="KNH2" s="14"/>
      <c r="KNI2" s="14"/>
      <c r="KNJ2" s="14"/>
      <c r="KNK2" s="14"/>
      <c r="KNL2" s="14"/>
      <c r="KNM2" s="14"/>
      <c r="KNN2" s="14"/>
      <c r="KNO2" s="14"/>
      <c r="KNP2" s="14"/>
      <c r="KNQ2" s="14"/>
      <c r="KNR2" s="14"/>
      <c r="KNS2" s="14"/>
      <c r="KNT2" s="14"/>
      <c r="KNU2" s="14"/>
      <c r="KNV2" s="14"/>
      <c r="KNW2" s="14"/>
      <c r="KNX2" s="14"/>
      <c r="KNY2" s="14"/>
      <c r="KNZ2" s="14"/>
      <c r="KOA2" s="14"/>
      <c r="KOB2" s="14"/>
      <c r="KOC2" s="14"/>
      <c r="KOD2" s="14"/>
      <c r="KOE2" s="14"/>
      <c r="KOF2" s="14"/>
      <c r="KOG2" s="14"/>
      <c r="KOH2" s="14"/>
      <c r="KOI2" s="14"/>
      <c r="KOJ2" s="14"/>
      <c r="KOK2" s="14"/>
      <c r="KOL2" s="14"/>
      <c r="KOM2" s="14"/>
      <c r="KON2" s="14"/>
      <c r="KOO2" s="14"/>
      <c r="KOP2" s="14"/>
      <c r="KOQ2" s="14"/>
      <c r="KOR2" s="14"/>
      <c r="KOS2" s="14"/>
      <c r="KOT2" s="14"/>
      <c r="KOU2" s="14"/>
      <c r="KOV2" s="14"/>
      <c r="KOW2" s="14"/>
      <c r="KOX2" s="14"/>
      <c r="KOY2" s="14"/>
      <c r="KOZ2" s="14"/>
      <c r="KPA2" s="14"/>
      <c r="KPB2" s="14"/>
      <c r="KPC2" s="14"/>
      <c r="KPD2" s="14"/>
      <c r="KPE2" s="14"/>
      <c r="KPF2" s="14"/>
      <c r="KPG2" s="14"/>
      <c r="KPH2" s="14"/>
      <c r="KPI2" s="14"/>
      <c r="KPJ2" s="14"/>
      <c r="KPK2" s="14"/>
      <c r="KPL2" s="14"/>
      <c r="KPM2" s="14"/>
      <c r="KPN2" s="14"/>
      <c r="KPO2" s="14"/>
      <c r="KPP2" s="14"/>
      <c r="KPQ2" s="14"/>
      <c r="KPR2" s="14"/>
      <c r="KPS2" s="14"/>
      <c r="KPT2" s="14"/>
      <c r="KPU2" s="14"/>
      <c r="KPV2" s="14"/>
      <c r="KPW2" s="14"/>
      <c r="KPX2" s="14"/>
      <c r="KPY2" s="14"/>
      <c r="KPZ2" s="14"/>
      <c r="KQA2" s="14"/>
      <c r="KQB2" s="14"/>
      <c r="KQC2" s="14"/>
      <c r="KQD2" s="14"/>
      <c r="KQE2" s="14"/>
      <c r="KQF2" s="14"/>
      <c r="KQG2" s="14"/>
      <c r="KQH2" s="14"/>
      <c r="KQI2" s="14"/>
      <c r="KQJ2" s="14"/>
      <c r="KQK2" s="14"/>
      <c r="KQL2" s="14"/>
      <c r="KQM2" s="14"/>
      <c r="KQN2" s="14"/>
      <c r="KQO2" s="14"/>
      <c r="KQP2" s="14"/>
      <c r="KQQ2" s="14"/>
      <c r="KQR2" s="14"/>
      <c r="KQS2" s="14"/>
      <c r="KQT2" s="14"/>
      <c r="KQU2" s="14"/>
      <c r="KQV2" s="14"/>
      <c r="KQW2" s="14"/>
      <c r="KQX2" s="14"/>
      <c r="KQY2" s="14"/>
      <c r="KQZ2" s="14"/>
      <c r="KRA2" s="14"/>
      <c r="KRB2" s="14"/>
      <c r="KRC2" s="14"/>
      <c r="KRD2" s="14"/>
      <c r="KRE2" s="14"/>
      <c r="KRF2" s="14"/>
      <c r="KRG2" s="14"/>
      <c r="KRH2" s="14"/>
      <c r="KRI2" s="14"/>
      <c r="KRJ2" s="14"/>
      <c r="KRK2" s="14"/>
      <c r="KRL2" s="14"/>
      <c r="KRM2" s="14"/>
      <c r="KRN2" s="14"/>
      <c r="KRO2" s="14"/>
      <c r="KRP2" s="14"/>
      <c r="KRQ2" s="14"/>
      <c r="KRR2" s="14"/>
      <c r="KRS2" s="14"/>
      <c r="KRT2" s="14"/>
      <c r="KRU2" s="14"/>
      <c r="KRV2" s="14"/>
      <c r="KRW2" s="14"/>
      <c r="KRX2" s="14"/>
      <c r="KRY2" s="14"/>
      <c r="KRZ2" s="14"/>
      <c r="KSA2" s="14"/>
      <c r="KSB2" s="14"/>
      <c r="KSC2" s="14"/>
      <c r="KSD2" s="14"/>
      <c r="KSE2" s="14"/>
      <c r="KSF2" s="14"/>
      <c r="KSG2" s="14"/>
      <c r="KSH2" s="14"/>
      <c r="KSI2" s="14"/>
      <c r="KSJ2" s="14"/>
      <c r="KSK2" s="14"/>
      <c r="KSL2" s="14"/>
      <c r="KSM2" s="14"/>
      <c r="KSN2" s="14"/>
      <c r="KSO2" s="14"/>
      <c r="KSP2" s="14"/>
      <c r="KSQ2" s="14"/>
      <c r="KSR2" s="14"/>
      <c r="KSS2" s="14"/>
      <c r="KST2" s="14"/>
      <c r="KSU2" s="14"/>
      <c r="KSV2" s="14"/>
      <c r="KSW2" s="14"/>
      <c r="KSX2" s="14"/>
      <c r="KSY2" s="14"/>
      <c r="KSZ2" s="14"/>
      <c r="KTA2" s="14"/>
      <c r="KTB2" s="14"/>
      <c r="KTC2" s="14"/>
      <c r="KTD2" s="14"/>
      <c r="KTE2" s="14"/>
      <c r="KTF2" s="14"/>
      <c r="KTG2" s="14"/>
      <c r="KTH2" s="14"/>
      <c r="KTI2" s="14"/>
      <c r="KTJ2" s="14"/>
      <c r="KTK2" s="14"/>
      <c r="KTL2" s="14"/>
      <c r="KTM2" s="14"/>
      <c r="KTN2" s="14"/>
      <c r="KTO2" s="14"/>
      <c r="KTP2" s="14"/>
      <c r="KTQ2" s="14"/>
      <c r="KTR2" s="14"/>
      <c r="KTS2" s="14"/>
      <c r="KTT2" s="14"/>
      <c r="KTU2" s="14"/>
      <c r="KTV2" s="14"/>
      <c r="KTW2" s="14"/>
      <c r="KTX2" s="14"/>
      <c r="KTY2" s="14"/>
      <c r="KTZ2" s="14"/>
      <c r="KUA2" s="14"/>
      <c r="KUB2" s="14"/>
      <c r="KUC2" s="14"/>
      <c r="KUD2" s="14"/>
      <c r="KUE2" s="14"/>
      <c r="KUF2" s="14"/>
      <c r="KUG2" s="14"/>
      <c r="KUH2" s="14"/>
      <c r="KUI2" s="14"/>
      <c r="KUJ2" s="14"/>
      <c r="KUK2" s="14"/>
      <c r="KUL2" s="14"/>
      <c r="KUM2" s="14"/>
      <c r="KUN2" s="14"/>
      <c r="KUO2" s="14"/>
      <c r="KUP2" s="14"/>
      <c r="KUQ2" s="14"/>
      <c r="KUR2" s="14"/>
      <c r="KUS2" s="14"/>
      <c r="KUT2" s="14"/>
      <c r="KUU2" s="14"/>
      <c r="KUV2" s="14"/>
      <c r="KUW2" s="14"/>
      <c r="KUX2" s="14"/>
      <c r="KUY2" s="14"/>
      <c r="KUZ2" s="14"/>
      <c r="KVA2" s="14"/>
      <c r="KVB2" s="14"/>
      <c r="KVC2" s="14"/>
      <c r="KVD2" s="14"/>
      <c r="KVE2" s="14"/>
      <c r="KVF2" s="14"/>
      <c r="KVG2" s="14"/>
      <c r="KVH2" s="14"/>
      <c r="KVI2" s="14"/>
      <c r="KVJ2" s="14"/>
      <c r="KVK2" s="14"/>
      <c r="KVL2" s="14"/>
      <c r="KVM2" s="14"/>
      <c r="KVN2" s="14"/>
      <c r="KVO2" s="14"/>
      <c r="KVP2" s="14"/>
      <c r="KVQ2" s="14"/>
      <c r="KVR2" s="14"/>
      <c r="KVS2" s="14"/>
      <c r="KVT2" s="14"/>
      <c r="KVU2" s="14"/>
      <c r="KVV2" s="14"/>
      <c r="KVW2" s="14"/>
      <c r="KVX2" s="14"/>
      <c r="KVY2" s="14"/>
      <c r="KVZ2" s="14"/>
      <c r="KWA2" s="14"/>
      <c r="KWB2" s="14"/>
      <c r="KWC2" s="14"/>
      <c r="KWD2" s="14"/>
      <c r="KWE2" s="14"/>
      <c r="KWF2" s="14"/>
      <c r="KWG2" s="14"/>
      <c r="KWH2" s="14"/>
      <c r="KWI2" s="14"/>
      <c r="KWJ2" s="14"/>
      <c r="KWK2" s="14"/>
      <c r="KWL2" s="14"/>
      <c r="KWM2" s="14"/>
      <c r="KWN2" s="14"/>
      <c r="KWO2" s="14"/>
      <c r="KWP2" s="14"/>
      <c r="KWQ2" s="14"/>
      <c r="KWR2" s="14"/>
      <c r="KWS2" s="14"/>
      <c r="KWT2" s="14"/>
      <c r="KWU2" s="14"/>
      <c r="KWV2" s="14"/>
      <c r="KWW2" s="14"/>
      <c r="KWX2" s="14"/>
      <c r="KWY2" s="14"/>
      <c r="KWZ2" s="14"/>
      <c r="KXA2" s="14"/>
      <c r="KXB2" s="14"/>
      <c r="KXC2" s="14"/>
      <c r="KXD2" s="14"/>
      <c r="KXE2" s="14"/>
      <c r="KXF2" s="14"/>
      <c r="KXG2" s="14"/>
      <c r="KXH2" s="14"/>
      <c r="KXI2" s="14"/>
      <c r="KXJ2" s="14"/>
      <c r="KXK2" s="14"/>
      <c r="KXL2" s="14"/>
      <c r="KXM2" s="14"/>
      <c r="KXN2" s="14"/>
      <c r="KXO2" s="14"/>
      <c r="KXP2" s="14"/>
      <c r="KXQ2" s="14"/>
      <c r="KXR2" s="14"/>
      <c r="KXS2" s="14"/>
      <c r="KXT2" s="14"/>
      <c r="KXU2" s="14"/>
      <c r="KXV2" s="14"/>
      <c r="KXW2" s="14"/>
      <c r="KXX2" s="14"/>
      <c r="KXY2" s="14"/>
      <c r="KXZ2" s="14"/>
      <c r="KYA2" s="14"/>
      <c r="KYB2" s="14"/>
      <c r="KYC2" s="14"/>
      <c r="KYD2" s="14"/>
      <c r="KYE2" s="14"/>
      <c r="KYF2" s="14"/>
      <c r="KYG2" s="14"/>
      <c r="KYH2" s="14"/>
      <c r="KYI2" s="14"/>
      <c r="KYJ2" s="14"/>
      <c r="KYK2" s="14"/>
      <c r="KYL2" s="14"/>
      <c r="KYM2" s="14"/>
      <c r="KYN2" s="14"/>
      <c r="KYO2" s="14"/>
      <c r="KYP2" s="14"/>
      <c r="KYQ2" s="14"/>
      <c r="KYR2" s="14"/>
      <c r="KYS2" s="14"/>
      <c r="KYT2" s="14"/>
      <c r="KYU2" s="14"/>
      <c r="KYV2" s="14"/>
      <c r="KYW2" s="14"/>
      <c r="KYX2" s="14"/>
      <c r="KYY2" s="14"/>
      <c r="KYZ2" s="14"/>
      <c r="KZA2" s="14"/>
      <c r="KZB2" s="14"/>
      <c r="KZC2" s="14"/>
      <c r="KZD2" s="14"/>
      <c r="KZE2" s="14"/>
      <c r="KZF2" s="14"/>
      <c r="KZG2" s="14"/>
      <c r="KZH2" s="14"/>
      <c r="KZI2" s="14"/>
      <c r="KZJ2" s="14"/>
      <c r="KZK2" s="14"/>
      <c r="KZL2" s="14"/>
      <c r="KZM2" s="14"/>
      <c r="KZN2" s="14"/>
      <c r="KZO2" s="14"/>
      <c r="KZP2" s="14"/>
      <c r="KZQ2" s="14"/>
      <c r="KZR2" s="14"/>
      <c r="KZS2" s="14"/>
      <c r="KZT2" s="14"/>
      <c r="KZU2" s="14"/>
      <c r="KZV2" s="14"/>
      <c r="KZW2" s="14"/>
      <c r="KZX2" s="14"/>
      <c r="KZY2" s="14"/>
      <c r="KZZ2" s="14"/>
      <c r="LAA2" s="14"/>
      <c r="LAB2" s="14"/>
      <c r="LAC2" s="14"/>
      <c r="LAD2" s="14"/>
      <c r="LAE2" s="14"/>
      <c r="LAF2" s="14"/>
      <c r="LAG2" s="14"/>
      <c r="LAH2" s="14"/>
      <c r="LAI2" s="14"/>
      <c r="LAJ2" s="14"/>
      <c r="LAK2" s="14"/>
      <c r="LAL2" s="14"/>
      <c r="LAM2" s="14"/>
      <c r="LAN2" s="14"/>
      <c r="LAO2" s="14"/>
      <c r="LAP2" s="14"/>
      <c r="LAQ2" s="14"/>
      <c r="LAR2" s="14"/>
      <c r="LAS2" s="14"/>
      <c r="LAT2" s="14"/>
      <c r="LAU2" s="14"/>
      <c r="LAV2" s="14"/>
      <c r="LAW2" s="14"/>
      <c r="LAX2" s="14"/>
      <c r="LAY2" s="14"/>
      <c r="LAZ2" s="14"/>
      <c r="LBA2" s="14"/>
      <c r="LBB2" s="14"/>
      <c r="LBC2" s="14"/>
      <c r="LBD2" s="14"/>
      <c r="LBE2" s="14"/>
      <c r="LBF2" s="14"/>
      <c r="LBG2" s="14"/>
      <c r="LBH2" s="14"/>
      <c r="LBI2" s="14"/>
      <c r="LBJ2" s="14"/>
      <c r="LBK2" s="14"/>
      <c r="LBL2" s="14"/>
      <c r="LBM2" s="14"/>
      <c r="LBN2" s="14"/>
      <c r="LBO2" s="14"/>
      <c r="LBP2" s="14"/>
      <c r="LBQ2" s="14"/>
      <c r="LBR2" s="14"/>
      <c r="LBS2" s="14"/>
      <c r="LBT2" s="14"/>
      <c r="LBU2" s="14"/>
      <c r="LBV2" s="14"/>
      <c r="LBW2" s="14"/>
      <c r="LBX2" s="14"/>
      <c r="LBY2" s="14"/>
      <c r="LBZ2" s="14"/>
      <c r="LCA2" s="14"/>
      <c r="LCB2" s="14"/>
      <c r="LCC2" s="14"/>
      <c r="LCD2" s="14"/>
      <c r="LCE2" s="14"/>
      <c r="LCF2" s="14"/>
      <c r="LCG2" s="14"/>
      <c r="LCH2" s="14"/>
      <c r="LCI2" s="14"/>
      <c r="LCJ2" s="14"/>
      <c r="LCK2" s="14"/>
      <c r="LCL2" s="14"/>
      <c r="LCM2" s="14"/>
      <c r="LCN2" s="14"/>
      <c r="LCO2" s="14"/>
      <c r="LCP2" s="14"/>
      <c r="LCQ2" s="14"/>
      <c r="LCR2" s="14"/>
      <c r="LCS2" s="14"/>
      <c r="LCT2" s="14"/>
      <c r="LCU2" s="14"/>
      <c r="LCV2" s="14"/>
      <c r="LCW2" s="14"/>
      <c r="LCX2" s="14"/>
      <c r="LCY2" s="14"/>
      <c r="LCZ2" s="14"/>
      <c r="LDA2" s="14"/>
      <c r="LDB2" s="14"/>
      <c r="LDC2" s="14"/>
      <c r="LDD2" s="14"/>
      <c r="LDE2" s="14"/>
      <c r="LDF2" s="14"/>
      <c r="LDG2" s="14"/>
      <c r="LDH2" s="14"/>
      <c r="LDI2" s="14"/>
      <c r="LDJ2" s="14"/>
      <c r="LDK2" s="14"/>
      <c r="LDL2" s="14"/>
      <c r="LDM2" s="14"/>
      <c r="LDN2" s="14"/>
      <c r="LDO2" s="14"/>
      <c r="LDP2" s="14"/>
      <c r="LDQ2" s="14"/>
      <c r="LDR2" s="14"/>
      <c r="LDS2" s="14"/>
      <c r="LDT2" s="14"/>
      <c r="LDU2" s="14"/>
      <c r="LDV2" s="14"/>
      <c r="LDW2" s="14"/>
      <c r="LDX2" s="14"/>
      <c r="LDY2" s="14"/>
      <c r="LDZ2" s="14"/>
      <c r="LEA2" s="14"/>
      <c r="LEB2" s="14"/>
      <c r="LEC2" s="14"/>
      <c r="LED2" s="14"/>
      <c r="LEE2" s="14"/>
      <c r="LEF2" s="14"/>
      <c r="LEG2" s="14"/>
      <c r="LEH2" s="14"/>
      <c r="LEI2" s="14"/>
      <c r="LEJ2" s="14"/>
      <c r="LEK2" s="14"/>
      <c r="LEL2" s="14"/>
      <c r="LEM2" s="14"/>
      <c r="LEN2" s="14"/>
      <c r="LEO2" s="14"/>
      <c r="LEP2" s="14"/>
      <c r="LEQ2" s="14"/>
      <c r="LER2" s="14"/>
      <c r="LES2" s="14"/>
      <c r="LET2" s="14"/>
      <c r="LEU2" s="14"/>
      <c r="LEV2" s="14"/>
      <c r="LEW2" s="14"/>
      <c r="LEX2" s="14"/>
      <c r="LEY2" s="14"/>
      <c r="LEZ2" s="14"/>
      <c r="LFA2" s="14"/>
      <c r="LFB2" s="14"/>
      <c r="LFC2" s="14"/>
      <c r="LFD2" s="14"/>
      <c r="LFE2" s="14"/>
      <c r="LFF2" s="14"/>
      <c r="LFG2" s="14"/>
      <c r="LFH2" s="14"/>
      <c r="LFI2" s="14"/>
      <c r="LFJ2" s="14"/>
      <c r="LFK2" s="14"/>
      <c r="LFL2" s="14"/>
      <c r="LFM2" s="14"/>
      <c r="LFN2" s="14"/>
      <c r="LFO2" s="14"/>
      <c r="LFP2" s="14"/>
      <c r="LFQ2" s="14"/>
      <c r="LFR2" s="14"/>
      <c r="LFS2" s="14"/>
      <c r="LFT2" s="14"/>
      <c r="LFU2" s="14"/>
      <c r="LFV2" s="14"/>
      <c r="LFW2" s="14"/>
      <c r="LFX2" s="14"/>
      <c r="LFY2" s="14"/>
      <c r="LFZ2" s="14"/>
      <c r="LGA2" s="14"/>
      <c r="LGB2" s="14"/>
      <c r="LGC2" s="14"/>
      <c r="LGD2" s="14"/>
      <c r="LGE2" s="14"/>
      <c r="LGF2" s="14"/>
      <c r="LGG2" s="14"/>
      <c r="LGH2" s="14"/>
      <c r="LGI2" s="14"/>
      <c r="LGJ2" s="14"/>
      <c r="LGK2" s="14"/>
      <c r="LGL2" s="14"/>
      <c r="LGM2" s="14"/>
      <c r="LGN2" s="14"/>
      <c r="LGO2" s="14"/>
      <c r="LGP2" s="14"/>
      <c r="LGQ2" s="14"/>
      <c r="LGR2" s="14"/>
      <c r="LGS2" s="14"/>
      <c r="LGT2" s="14"/>
      <c r="LGU2" s="14"/>
      <c r="LGV2" s="14"/>
      <c r="LGW2" s="14"/>
      <c r="LGX2" s="14"/>
      <c r="LGY2" s="14"/>
      <c r="LGZ2" s="14"/>
      <c r="LHA2" s="14"/>
      <c r="LHB2" s="14"/>
      <c r="LHC2" s="14"/>
      <c r="LHD2" s="14"/>
      <c r="LHE2" s="14"/>
      <c r="LHF2" s="14"/>
      <c r="LHG2" s="14"/>
      <c r="LHH2" s="14"/>
      <c r="LHI2" s="14"/>
      <c r="LHJ2" s="14"/>
      <c r="LHK2" s="14"/>
      <c r="LHL2" s="14"/>
      <c r="LHM2" s="14"/>
      <c r="LHN2" s="14"/>
      <c r="LHO2" s="14"/>
      <c r="LHP2" s="14"/>
      <c r="LHQ2" s="14"/>
      <c r="LHR2" s="14"/>
      <c r="LHS2" s="14"/>
      <c r="LHT2" s="14"/>
      <c r="LHU2" s="14"/>
      <c r="LHV2" s="14"/>
      <c r="LHW2" s="14"/>
      <c r="LHX2" s="14"/>
      <c r="LHY2" s="14"/>
      <c r="LHZ2" s="14"/>
      <c r="LIA2" s="14"/>
      <c r="LIB2" s="14"/>
      <c r="LIC2" s="14"/>
      <c r="LID2" s="14"/>
      <c r="LIE2" s="14"/>
      <c r="LIF2" s="14"/>
      <c r="LIG2" s="14"/>
      <c r="LIH2" s="14"/>
      <c r="LII2" s="14"/>
      <c r="LIJ2" s="14"/>
      <c r="LIK2" s="14"/>
      <c r="LIL2" s="14"/>
      <c r="LIM2" s="14"/>
      <c r="LIN2" s="14"/>
      <c r="LIO2" s="14"/>
      <c r="LIP2" s="14"/>
      <c r="LIQ2" s="14"/>
      <c r="LIR2" s="14"/>
      <c r="LIS2" s="14"/>
      <c r="LIT2" s="14"/>
      <c r="LIU2" s="14"/>
      <c r="LIV2" s="14"/>
      <c r="LIW2" s="14"/>
      <c r="LIX2" s="14"/>
      <c r="LIY2" s="14"/>
      <c r="LIZ2" s="14"/>
      <c r="LJA2" s="14"/>
      <c r="LJB2" s="14"/>
      <c r="LJC2" s="14"/>
      <c r="LJD2" s="14"/>
      <c r="LJE2" s="14"/>
      <c r="LJF2" s="14"/>
      <c r="LJG2" s="14"/>
      <c r="LJH2" s="14"/>
      <c r="LJI2" s="14"/>
      <c r="LJJ2" s="14"/>
      <c r="LJK2" s="14"/>
      <c r="LJL2" s="14"/>
      <c r="LJM2" s="14"/>
      <c r="LJN2" s="14"/>
      <c r="LJO2" s="14"/>
      <c r="LJP2" s="14"/>
      <c r="LJQ2" s="14"/>
      <c r="LJR2" s="14"/>
      <c r="LJS2" s="14"/>
      <c r="LJT2" s="14"/>
      <c r="LJU2" s="14"/>
      <c r="LJV2" s="14"/>
      <c r="LJW2" s="14"/>
      <c r="LJX2" s="14"/>
      <c r="LJY2" s="14"/>
      <c r="LJZ2" s="14"/>
      <c r="LKA2" s="14"/>
      <c r="LKB2" s="14"/>
      <c r="LKC2" s="14"/>
      <c r="LKD2" s="14"/>
      <c r="LKE2" s="14"/>
      <c r="LKF2" s="14"/>
      <c r="LKG2" s="14"/>
      <c r="LKH2" s="14"/>
      <c r="LKI2" s="14"/>
      <c r="LKJ2" s="14"/>
      <c r="LKK2" s="14"/>
      <c r="LKL2" s="14"/>
      <c r="LKM2" s="14"/>
      <c r="LKN2" s="14"/>
      <c r="LKO2" s="14"/>
      <c r="LKP2" s="14"/>
      <c r="LKQ2" s="14"/>
      <c r="LKR2" s="14"/>
      <c r="LKS2" s="14"/>
      <c r="LKT2" s="14"/>
      <c r="LKU2" s="14"/>
      <c r="LKV2" s="14"/>
      <c r="LKW2" s="14"/>
      <c r="LKX2" s="14"/>
      <c r="LKY2" s="14"/>
      <c r="LKZ2" s="14"/>
      <c r="LLA2" s="14"/>
      <c r="LLB2" s="14"/>
      <c r="LLC2" s="14"/>
      <c r="LLD2" s="14"/>
      <c r="LLE2" s="14"/>
      <c r="LLF2" s="14"/>
      <c r="LLG2" s="14"/>
      <c r="LLH2" s="14"/>
      <c r="LLI2" s="14"/>
      <c r="LLJ2" s="14"/>
      <c r="LLK2" s="14"/>
      <c r="LLL2" s="14"/>
      <c r="LLM2" s="14"/>
      <c r="LLN2" s="14"/>
      <c r="LLO2" s="14"/>
      <c r="LLP2" s="14"/>
      <c r="LLQ2" s="14"/>
      <c r="LLR2" s="14"/>
      <c r="LLS2" s="14"/>
      <c r="LLT2" s="14"/>
      <c r="LLU2" s="14"/>
      <c r="LLV2" s="14"/>
      <c r="LLW2" s="14"/>
      <c r="LLX2" s="14"/>
      <c r="LLY2" s="14"/>
      <c r="LLZ2" s="14"/>
      <c r="LMA2" s="14"/>
      <c r="LMB2" s="14"/>
      <c r="LMC2" s="14"/>
      <c r="LMD2" s="14"/>
      <c r="LME2" s="14"/>
      <c r="LMF2" s="14"/>
      <c r="LMG2" s="14"/>
      <c r="LMH2" s="14"/>
      <c r="LMI2" s="14"/>
      <c r="LMJ2" s="14"/>
      <c r="LMK2" s="14"/>
      <c r="LML2" s="14"/>
      <c r="LMM2" s="14"/>
      <c r="LMN2" s="14"/>
      <c r="LMO2" s="14"/>
      <c r="LMP2" s="14"/>
      <c r="LMQ2" s="14"/>
      <c r="LMR2" s="14"/>
      <c r="LMS2" s="14"/>
      <c r="LMT2" s="14"/>
      <c r="LMU2" s="14"/>
      <c r="LMV2" s="14"/>
      <c r="LMW2" s="14"/>
      <c r="LMX2" s="14"/>
      <c r="LMY2" s="14"/>
      <c r="LMZ2" s="14"/>
      <c r="LNA2" s="14"/>
      <c r="LNB2" s="14"/>
      <c r="LNC2" s="14"/>
      <c r="LND2" s="14"/>
      <c r="LNE2" s="14"/>
      <c r="LNF2" s="14"/>
      <c r="LNG2" s="14"/>
      <c r="LNH2" s="14"/>
      <c r="LNI2" s="14"/>
      <c r="LNJ2" s="14"/>
      <c r="LNK2" s="14"/>
      <c r="LNL2" s="14"/>
      <c r="LNM2" s="14"/>
      <c r="LNN2" s="14"/>
      <c r="LNO2" s="14"/>
      <c r="LNP2" s="14"/>
      <c r="LNQ2" s="14"/>
      <c r="LNR2" s="14"/>
      <c r="LNS2" s="14"/>
      <c r="LNT2" s="14"/>
      <c r="LNU2" s="14"/>
      <c r="LNV2" s="14"/>
      <c r="LNW2" s="14"/>
      <c r="LNX2" s="14"/>
      <c r="LNY2" s="14"/>
      <c r="LNZ2" s="14"/>
      <c r="LOA2" s="14"/>
      <c r="LOB2" s="14"/>
      <c r="LOC2" s="14"/>
      <c r="LOD2" s="14"/>
      <c r="LOE2" s="14"/>
      <c r="LOF2" s="14"/>
      <c r="LOG2" s="14"/>
      <c r="LOH2" s="14"/>
      <c r="LOI2" s="14"/>
      <c r="LOJ2" s="14"/>
      <c r="LOK2" s="14"/>
      <c r="LOL2" s="14"/>
      <c r="LOM2" s="14"/>
      <c r="LON2" s="14"/>
      <c r="LOO2" s="14"/>
      <c r="LOP2" s="14"/>
      <c r="LOQ2" s="14"/>
      <c r="LOR2" s="14"/>
      <c r="LOS2" s="14"/>
      <c r="LOT2" s="14"/>
      <c r="LOU2" s="14"/>
      <c r="LOV2" s="14"/>
      <c r="LOW2" s="14"/>
      <c r="LOX2" s="14"/>
      <c r="LOY2" s="14"/>
      <c r="LOZ2" s="14"/>
      <c r="LPA2" s="14"/>
      <c r="LPB2" s="14"/>
      <c r="LPC2" s="14"/>
      <c r="LPD2" s="14"/>
      <c r="LPE2" s="14"/>
      <c r="LPF2" s="14"/>
      <c r="LPG2" s="14"/>
      <c r="LPH2" s="14"/>
      <c r="LPI2" s="14"/>
      <c r="LPJ2" s="14"/>
      <c r="LPK2" s="14"/>
      <c r="LPL2" s="14"/>
      <c r="LPM2" s="14"/>
      <c r="LPN2" s="14"/>
      <c r="LPO2" s="14"/>
      <c r="LPP2" s="14"/>
      <c r="LPQ2" s="14"/>
      <c r="LPR2" s="14"/>
      <c r="LPS2" s="14"/>
      <c r="LPT2" s="14"/>
      <c r="LPU2" s="14"/>
      <c r="LPV2" s="14"/>
      <c r="LPW2" s="14"/>
      <c r="LPX2" s="14"/>
      <c r="LPY2" s="14"/>
      <c r="LPZ2" s="14"/>
      <c r="LQA2" s="14"/>
      <c r="LQB2" s="14"/>
      <c r="LQC2" s="14"/>
      <c r="LQD2" s="14"/>
      <c r="LQE2" s="14"/>
      <c r="LQF2" s="14"/>
      <c r="LQG2" s="14"/>
      <c r="LQH2" s="14"/>
      <c r="LQI2" s="14"/>
      <c r="LQJ2" s="14"/>
      <c r="LQK2" s="14"/>
      <c r="LQL2" s="14"/>
      <c r="LQM2" s="14"/>
      <c r="LQN2" s="14"/>
      <c r="LQO2" s="14"/>
      <c r="LQP2" s="14"/>
      <c r="LQQ2" s="14"/>
      <c r="LQR2" s="14"/>
      <c r="LQS2" s="14"/>
      <c r="LQT2" s="14"/>
      <c r="LQU2" s="14"/>
      <c r="LQV2" s="14"/>
      <c r="LQW2" s="14"/>
      <c r="LQX2" s="14"/>
      <c r="LQY2" s="14"/>
      <c r="LQZ2" s="14"/>
      <c r="LRA2" s="14"/>
      <c r="LRB2" s="14"/>
      <c r="LRC2" s="14"/>
      <c r="LRD2" s="14"/>
      <c r="LRE2" s="14"/>
      <c r="LRF2" s="14"/>
      <c r="LRG2" s="14"/>
      <c r="LRH2" s="14"/>
      <c r="LRI2" s="14"/>
      <c r="LRJ2" s="14"/>
      <c r="LRK2" s="14"/>
      <c r="LRL2" s="14"/>
      <c r="LRM2" s="14"/>
      <c r="LRN2" s="14"/>
      <c r="LRO2" s="14"/>
      <c r="LRP2" s="14"/>
      <c r="LRQ2" s="14"/>
      <c r="LRR2" s="14"/>
      <c r="LRS2" s="14"/>
      <c r="LRT2" s="14"/>
      <c r="LRU2" s="14"/>
      <c r="LRV2" s="14"/>
      <c r="LRW2" s="14"/>
      <c r="LRX2" s="14"/>
      <c r="LRY2" s="14"/>
      <c r="LRZ2" s="14"/>
      <c r="LSA2" s="14"/>
      <c r="LSB2" s="14"/>
      <c r="LSC2" s="14"/>
      <c r="LSD2" s="14"/>
      <c r="LSE2" s="14"/>
      <c r="LSF2" s="14"/>
      <c r="LSG2" s="14"/>
      <c r="LSH2" s="14"/>
      <c r="LSI2" s="14"/>
      <c r="LSJ2" s="14"/>
      <c r="LSK2" s="14"/>
      <c r="LSL2" s="14"/>
      <c r="LSM2" s="14"/>
      <c r="LSN2" s="14"/>
      <c r="LSO2" s="14"/>
      <c r="LSP2" s="14"/>
      <c r="LSQ2" s="14"/>
      <c r="LSR2" s="14"/>
      <c r="LSS2" s="14"/>
      <c r="LST2" s="14"/>
      <c r="LSU2" s="14"/>
      <c r="LSV2" s="14"/>
      <c r="LSW2" s="14"/>
      <c r="LSX2" s="14"/>
      <c r="LSY2" s="14"/>
      <c r="LSZ2" s="14"/>
      <c r="LTA2" s="14"/>
      <c r="LTB2" s="14"/>
      <c r="LTC2" s="14"/>
      <c r="LTD2" s="14"/>
      <c r="LTE2" s="14"/>
      <c r="LTF2" s="14"/>
      <c r="LTG2" s="14"/>
      <c r="LTH2" s="14"/>
      <c r="LTI2" s="14"/>
      <c r="LTJ2" s="14"/>
      <c r="LTK2" s="14"/>
      <c r="LTL2" s="14"/>
      <c r="LTM2" s="14"/>
      <c r="LTN2" s="14"/>
      <c r="LTO2" s="14"/>
      <c r="LTP2" s="14"/>
      <c r="LTQ2" s="14"/>
      <c r="LTR2" s="14"/>
      <c r="LTS2" s="14"/>
      <c r="LTT2" s="14"/>
      <c r="LTU2" s="14"/>
      <c r="LTV2" s="14"/>
      <c r="LTW2" s="14"/>
      <c r="LTX2" s="14"/>
      <c r="LTY2" s="14"/>
      <c r="LTZ2" s="14"/>
      <c r="LUA2" s="14"/>
      <c r="LUB2" s="14"/>
      <c r="LUC2" s="14"/>
      <c r="LUD2" s="14"/>
      <c r="LUE2" s="14"/>
      <c r="LUF2" s="14"/>
      <c r="LUG2" s="14"/>
      <c r="LUH2" s="14"/>
      <c r="LUI2" s="14"/>
      <c r="LUJ2" s="14"/>
      <c r="LUK2" s="14"/>
      <c r="LUL2" s="14"/>
      <c r="LUM2" s="14"/>
      <c r="LUN2" s="14"/>
      <c r="LUO2" s="14"/>
      <c r="LUP2" s="14"/>
      <c r="LUQ2" s="14"/>
      <c r="LUR2" s="14"/>
      <c r="LUS2" s="14"/>
      <c r="LUT2" s="14"/>
      <c r="LUU2" s="14"/>
      <c r="LUV2" s="14"/>
      <c r="LUW2" s="14"/>
      <c r="LUX2" s="14"/>
      <c r="LUY2" s="14"/>
      <c r="LUZ2" s="14"/>
      <c r="LVA2" s="14"/>
      <c r="LVB2" s="14"/>
      <c r="LVC2" s="14"/>
      <c r="LVD2" s="14"/>
      <c r="LVE2" s="14"/>
      <c r="LVF2" s="14"/>
      <c r="LVG2" s="14"/>
      <c r="LVH2" s="14"/>
      <c r="LVI2" s="14"/>
      <c r="LVJ2" s="14"/>
      <c r="LVK2" s="14"/>
      <c r="LVL2" s="14"/>
      <c r="LVM2" s="14"/>
      <c r="LVN2" s="14"/>
      <c r="LVO2" s="14"/>
      <c r="LVP2" s="14"/>
      <c r="LVQ2" s="14"/>
      <c r="LVR2" s="14"/>
      <c r="LVS2" s="14"/>
      <c r="LVT2" s="14"/>
      <c r="LVU2" s="14"/>
      <c r="LVV2" s="14"/>
      <c r="LVW2" s="14"/>
      <c r="LVX2" s="14"/>
      <c r="LVY2" s="14"/>
      <c r="LVZ2" s="14"/>
      <c r="LWA2" s="14"/>
      <c r="LWB2" s="14"/>
      <c r="LWC2" s="14"/>
      <c r="LWD2" s="14"/>
      <c r="LWE2" s="14"/>
      <c r="LWF2" s="14"/>
      <c r="LWG2" s="14"/>
      <c r="LWH2" s="14"/>
      <c r="LWI2" s="14"/>
      <c r="LWJ2" s="14"/>
      <c r="LWK2" s="14"/>
      <c r="LWL2" s="14"/>
      <c r="LWM2" s="14"/>
      <c r="LWN2" s="14"/>
      <c r="LWO2" s="14"/>
      <c r="LWP2" s="14"/>
      <c r="LWQ2" s="14"/>
      <c r="LWR2" s="14"/>
      <c r="LWS2" s="14"/>
      <c r="LWT2" s="14"/>
      <c r="LWU2" s="14"/>
      <c r="LWV2" s="14"/>
      <c r="LWW2" s="14"/>
      <c r="LWX2" s="14"/>
      <c r="LWY2" s="14"/>
      <c r="LWZ2" s="14"/>
      <c r="LXA2" s="14"/>
      <c r="LXB2" s="14"/>
      <c r="LXC2" s="14"/>
      <c r="LXD2" s="14"/>
      <c r="LXE2" s="14"/>
      <c r="LXF2" s="14"/>
      <c r="LXG2" s="14"/>
      <c r="LXH2" s="14"/>
      <c r="LXI2" s="14"/>
      <c r="LXJ2" s="14"/>
      <c r="LXK2" s="14"/>
      <c r="LXL2" s="14"/>
      <c r="LXM2" s="14"/>
      <c r="LXN2" s="14"/>
      <c r="LXO2" s="14"/>
      <c r="LXP2" s="14"/>
      <c r="LXQ2" s="14"/>
      <c r="LXR2" s="14"/>
      <c r="LXS2" s="14"/>
      <c r="LXT2" s="14"/>
      <c r="LXU2" s="14"/>
      <c r="LXV2" s="14"/>
      <c r="LXW2" s="14"/>
      <c r="LXX2" s="14"/>
      <c r="LXY2" s="14"/>
      <c r="LXZ2" s="14"/>
      <c r="LYA2" s="14"/>
      <c r="LYB2" s="14"/>
      <c r="LYC2" s="14"/>
      <c r="LYD2" s="14"/>
      <c r="LYE2" s="14"/>
      <c r="LYF2" s="14"/>
      <c r="LYG2" s="14"/>
      <c r="LYH2" s="14"/>
      <c r="LYI2" s="14"/>
      <c r="LYJ2" s="14"/>
      <c r="LYK2" s="14"/>
      <c r="LYL2" s="14"/>
      <c r="LYM2" s="14"/>
      <c r="LYN2" s="14"/>
      <c r="LYO2" s="14"/>
      <c r="LYP2" s="14"/>
      <c r="LYQ2" s="14"/>
      <c r="LYR2" s="14"/>
      <c r="LYS2" s="14"/>
      <c r="LYT2" s="14"/>
      <c r="LYU2" s="14"/>
      <c r="LYV2" s="14"/>
      <c r="LYW2" s="14"/>
      <c r="LYX2" s="14"/>
      <c r="LYY2" s="14"/>
      <c r="LYZ2" s="14"/>
      <c r="LZA2" s="14"/>
      <c r="LZB2" s="14"/>
      <c r="LZC2" s="14"/>
      <c r="LZD2" s="14"/>
      <c r="LZE2" s="14"/>
      <c r="LZF2" s="14"/>
      <c r="LZG2" s="14"/>
      <c r="LZH2" s="14"/>
      <c r="LZI2" s="14"/>
      <c r="LZJ2" s="14"/>
      <c r="LZK2" s="14"/>
      <c r="LZL2" s="14"/>
      <c r="LZM2" s="14"/>
      <c r="LZN2" s="14"/>
      <c r="LZO2" s="14"/>
      <c r="LZP2" s="14"/>
      <c r="LZQ2" s="14"/>
      <c r="LZR2" s="14"/>
      <c r="LZS2" s="14"/>
      <c r="LZT2" s="14"/>
      <c r="LZU2" s="14"/>
      <c r="LZV2" s="14"/>
      <c r="LZW2" s="14"/>
      <c r="LZX2" s="14"/>
      <c r="LZY2" s="14"/>
      <c r="LZZ2" s="14"/>
      <c r="MAA2" s="14"/>
      <c r="MAB2" s="14"/>
      <c r="MAC2" s="14"/>
      <c r="MAD2" s="14"/>
      <c r="MAE2" s="14"/>
      <c r="MAF2" s="14"/>
      <c r="MAG2" s="14"/>
      <c r="MAH2" s="14"/>
      <c r="MAI2" s="14"/>
      <c r="MAJ2" s="14"/>
      <c r="MAK2" s="14"/>
      <c r="MAL2" s="14"/>
      <c r="MAM2" s="14"/>
      <c r="MAN2" s="14"/>
      <c r="MAO2" s="14"/>
      <c r="MAP2" s="14"/>
      <c r="MAQ2" s="14"/>
      <c r="MAR2" s="14"/>
      <c r="MAS2" s="14"/>
      <c r="MAT2" s="14"/>
      <c r="MAU2" s="14"/>
      <c r="MAV2" s="14"/>
      <c r="MAW2" s="14"/>
      <c r="MAX2" s="14"/>
      <c r="MAY2" s="14"/>
      <c r="MAZ2" s="14"/>
      <c r="MBA2" s="14"/>
      <c r="MBB2" s="14"/>
      <c r="MBC2" s="14"/>
      <c r="MBD2" s="14"/>
      <c r="MBE2" s="14"/>
      <c r="MBF2" s="14"/>
      <c r="MBG2" s="14"/>
      <c r="MBH2" s="14"/>
      <c r="MBI2" s="14"/>
      <c r="MBJ2" s="14"/>
      <c r="MBK2" s="14"/>
      <c r="MBL2" s="14"/>
      <c r="MBM2" s="14"/>
      <c r="MBN2" s="14"/>
      <c r="MBO2" s="14"/>
      <c r="MBP2" s="14"/>
      <c r="MBQ2" s="14"/>
      <c r="MBR2" s="14"/>
      <c r="MBS2" s="14"/>
      <c r="MBT2" s="14"/>
      <c r="MBU2" s="14"/>
      <c r="MBV2" s="14"/>
      <c r="MBW2" s="14"/>
      <c r="MBX2" s="14"/>
      <c r="MBY2" s="14"/>
      <c r="MBZ2" s="14"/>
      <c r="MCA2" s="14"/>
      <c r="MCB2" s="14"/>
      <c r="MCC2" s="14"/>
      <c r="MCD2" s="14"/>
      <c r="MCE2" s="14"/>
      <c r="MCF2" s="14"/>
      <c r="MCG2" s="14"/>
      <c r="MCH2" s="14"/>
      <c r="MCI2" s="14"/>
      <c r="MCJ2" s="14"/>
      <c r="MCK2" s="14"/>
      <c r="MCL2" s="14"/>
      <c r="MCM2" s="14"/>
      <c r="MCN2" s="14"/>
      <c r="MCO2" s="14"/>
      <c r="MCP2" s="14"/>
      <c r="MCQ2" s="14"/>
      <c r="MCR2" s="14"/>
      <c r="MCS2" s="14"/>
      <c r="MCT2" s="14"/>
      <c r="MCU2" s="14"/>
      <c r="MCV2" s="14"/>
      <c r="MCW2" s="14"/>
      <c r="MCX2" s="14"/>
      <c r="MCY2" s="14"/>
      <c r="MCZ2" s="14"/>
      <c r="MDA2" s="14"/>
      <c r="MDB2" s="14"/>
      <c r="MDC2" s="14"/>
      <c r="MDD2" s="14"/>
      <c r="MDE2" s="14"/>
      <c r="MDF2" s="14"/>
      <c r="MDG2" s="14"/>
      <c r="MDH2" s="14"/>
      <c r="MDI2" s="14"/>
      <c r="MDJ2" s="14"/>
      <c r="MDK2" s="14"/>
      <c r="MDL2" s="14"/>
      <c r="MDM2" s="14"/>
      <c r="MDN2" s="14"/>
      <c r="MDO2" s="14"/>
      <c r="MDP2" s="14"/>
      <c r="MDQ2" s="14"/>
      <c r="MDR2" s="14"/>
      <c r="MDS2" s="14"/>
      <c r="MDT2" s="14"/>
      <c r="MDU2" s="14"/>
      <c r="MDV2" s="14"/>
      <c r="MDW2" s="14"/>
      <c r="MDX2" s="14"/>
      <c r="MDY2" s="14"/>
      <c r="MDZ2" s="14"/>
      <c r="MEA2" s="14"/>
      <c r="MEB2" s="14"/>
      <c r="MEC2" s="14"/>
      <c r="MED2" s="14"/>
      <c r="MEE2" s="14"/>
      <c r="MEF2" s="14"/>
      <c r="MEG2" s="14"/>
      <c r="MEH2" s="14"/>
      <c r="MEI2" s="14"/>
      <c r="MEJ2" s="14"/>
      <c r="MEK2" s="14"/>
      <c r="MEL2" s="14"/>
      <c r="MEM2" s="14"/>
      <c r="MEN2" s="14"/>
      <c r="MEO2" s="14"/>
      <c r="MEP2" s="14"/>
      <c r="MEQ2" s="14"/>
      <c r="MER2" s="14"/>
      <c r="MES2" s="14"/>
      <c r="MET2" s="14"/>
      <c r="MEU2" s="14"/>
      <c r="MEV2" s="14"/>
      <c r="MEW2" s="14"/>
      <c r="MEX2" s="14"/>
      <c r="MEY2" s="14"/>
      <c r="MEZ2" s="14"/>
      <c r="MFA2" s="14"/>
      <c r="MFB2" s="14"/>
      <c r="MFC2" s="14"/>
      <c r="MFD2" s="14"/>
      <c r="MFE2" s="14"/>
      <c r="MFF2" s="14"/>
      <c r="MFG2" s="14"/>
      <c r="MFH2" s="14"/>
      <c r="MFI2" s="14"/>
      <c r="MFJ2" s="14"/>
      <c r="MFK2" s="14"/>
      <c r="MFL2" s="14"/>
      <c r="MFM2" s="14"/>
      <c r="MFN2" s="14"/>
      <c r="MFO2" s="14"/>
      <c r="MFP2" s="14"/>
      <c r="MFQ2" s="14"/>
      <c r="MFR2" s="14"/>
      <c r="MFS2" s="14"/>
      <c r="MFT2" s="14"/>
      <c r="MFU2" s="14"/>
      <c r="MFV2" s="14"/>
      <c r="MFW2" s="14"/>
      <c r="MFX2" s="14"/>
      <c r="MFY2" s="14"/>
      <c r="MFZ2" s="14"/>
      <c r="MGA2" s="14"/>
      <c r="MGB2" s="14"/>
      <c r="MGC2" s="14"/>
      <c r="MGD2" s="14"/>
      <c r="MGE2" s="14"/>
      <c r="MGF2" s="14"/>
      <c r="MGG2" s="14"/>
      <c r="MGH2" s="14"/>
      <c r="MGI2" s="14"/>
      <c r="MGJ2" s="14"/>
      <c r="MGK2" s="14"/>
      <c r="MGL2" s="14"/>
      <c r="MGM2" s="14"/>
      <c r="MGN2" s="14"/>
      <c r="MGO2" s="14"/>
      <c r="MGP2" s="14"/>
      <c r="MGQ2" s="14"/>
      <c r="MGR2" s="14"/>
      <c r="MGS2" s="14"/>
      <c r="MGT2" s="14"/>
      <c r="MGU2" s="14"/>
      <c r="MGV2" s="14"/>
      <c r="MGW2" s="14"/>
      <c r="MGX2" s="14"/>
      <c r="MGY2" s="14"/>
      <c r="MGZ2" s="14"/>
      <c r="MHA2" s="14"/>
      <c r="MHB2" s="14"/>
      <c r="MHC2" s="14"/>
      <c r="MHD2" s="14"/>
      <c r="MHE2" s="14"/>
      <c r="MHF2" s="14"/>
      <c r="MHG2" s="14"/>
      <c r="MHH2" s="14"/>
      <c r="MHI2" s="14"/>
      <c r="MHJ2" s="14"/>
      <c r="MHK2" s="14"/>
      <c r="MHL2" s="14"/>
      <c r="MHM2" s="14"/>
      <c r="MHN2" s="14"/>
      <c r="MHO2" s="14"/>
      <c r="MHP2" s="14"/>
      <c r="MHQ2" s="14"/>
      <c r="MHR2" s="14"/>
      <c r="MHS2" s="14"/>
      <c r="MHT2" s="14"/>
      <c r="MHU2" s="14"/>
      <c r="MHV2" s="14"/>
      <c r="MHW2" s="14"/>
      <c r="MHX2" s="14"/>
      <c r="MHY2" s="14"/>
      <c r="MHZ2" s="14"/>
      <c r="MIA2" s="14"/>
      <c r="MIB2" s="14"/>
      <c r="MIC2" s="14"/>
      <c r="MID2" s="14"/>
      <c r="MIE2" s="14"/>
      <c r="MIF2" s="14"/>
      <c r="MIG2" s="14"/>
      <c r="MIH2" s="14"/>
      <c r="MII2" s="14"/>
      <c r="MIJ2" s="14"/>
      <c r="MIK2" s="14"/>
      <c r="MIL2" s="14"/>
      <c r="MIM2" s="14"/>
      <c r="MIN2" s="14"/>
      <c r="MIO2" s="14"/>
      <c r="MIP2" s="14"/>
      <c r="MIQ2" s="14"/>
      <c r="MIR2" s="14"/>
      <c r="MIS2" s="14"/>
      <c r="MIT2" s="14"/>
      <c r="MIU2" s="14"/>
      <c r="MIV2" s="14"/>
      <c r="MIW2" s="14"/>
      <c r="MIX2" s="14"/>
      <c r="MIY2" s="14"/>
      <c r="MIZ2" s="14"/>
      <c r="MJA2" s="14"/>
      <c r="MJB2" s="14"/>
      <c r="MJC2" s="14"/>
      <c r="MJD2" s="14"/>
      <c r="MJE2" s="14"/>
      <c r="MJF2" s="14"/>
      <c r="MJG2" s="14"/>
      <c r="MJH2" s="14"/>
      <c r="MJI2" s="14"/>
      <c r="MJJ2" s="14"/>
      <c r="MJK2" s="14"/>
      <c r="MJL2" s="14"/>
      <c r="MJM2" s="14"/>
      <c r="MJN2" s="14"/>
      <c r="MJO2" s="14"/>
      <c r="MJP2" s="14"/>
      <c r="MJQ2" s="14"/>
      <c r="MJR2" s="14"/>
      <c r="MJS2" s="14"/>
      <c r="MJT2" s="14"/>
      <c r="MJU2" s="14"/>
      <c r="MJV2" s="14"/>
      <c r="MJW2" s="14"/>
      <c r="MJX2" s="14"/>
      <c r="MJY2" s="14"/>
      <c r="MJZ2" s="14"/>
      <c r="MKA2" s="14"/>
      <c r="MKB2" s="14"/>
      <c r="MKC2" s="14"/>
      <c r="MKD2" s="14"/>
      <c r="MKE2" s="14"/>
      <c r="MKF2" s="14"/>
      <c r="MKG2" s="14"/>
      <c r="MKH2" s="14"/>
      <c r="MKI2" s="14"/>
      <c r="MKJ2" s="14"/>
      <c r="MKK2" s="14"/>
      <c r="MKL2" s="14"/>
      <c r="MKM2" s="14"/>
      <c r="MKN2" s="14"/>
      <c r="MKO2" s="14"/>
      <c r="MKP2" s="14"/>
      <c r="MKQ2" s="14"/>
      <c r="MKR2" s="14"/>
      <c r="MKS2" s="14"/>
      <c r="MKT2" s="14"/>
      <c r="MKU2" s="14"/>
      <c r="MKV2" s="14"/>
      <c r="MKW2" s="14"/>
      <c r="MKX2" s="14"/>
      <c r="MKY2" s="14"/>
      <c r="MKZ2" s="14"/>
      <c r="MLA2" s="14"/>
      <c r="MLB2" s="14"/>
      <c r="MLC2" s="14"/>
      <c r="MLD2" s="14"/>
      <c r="MLE2" s="14"/>
      <c r="MLF2" s="14"/>
      <c r="MLG2" s="14"/>
      <c r="MLH2" s="14"/>
      <c r="MLI2" s="14"/>
      <c r="MLJ2" s="14"/>
      <c r="MLK2" s="14"/>
      <c r="MLL2" s="14"/>
      <c r="MLM2" s="14"/>
      <c r="MLN2" s="14"/>
      <c r="MLO2" s="14"/>
      <c r="MLP2" s="14"/>
      <c r="MLQ2" s="14"/>
      <c r="MLR2" s="14"/>
      <c r="MLS2" s="14"/>
      <c r="MLT2" s="14"/>
      <c r="MLU2" s="14"/>
      <c r="MLV2" s="14"/>
      <c r="MLW2" s="14"/>
      <c r="MLX2" s="14"/>
      <c r="MLY2" s="14"/>
      <c r="MLZ2" s="14"/>
      <c r="MMA2" s="14"/>
      <c r="MMB2" s="14"/>
      <c r="MMC2" s="14"/>
      <c r="MMD2" s="14"/>
      <c r="MME2" s="14"/>
      <c r="MMF2" s="14"/>
      <c r="MMG2" s="14"/>
      <c r="MMH2" s="14"/>
      <c r="MMI2" s="14"/>
      <c r="MMJ2" s="14"/>
      <c r="MMK2" s="14"/>
      <c r="MML2" s="14"/>
      <c r="MMM2" s="14"/>
      <c r="MMN2" s="14"/>
      <c r="MMO2" s="14"/>
      <c r="MMP2" s="14"/>
      <c r="MMQ2" s="14"/>
      <c r="MMR2" s="14"/>
      <c r="MMS2" s="14"/>
      <c r="MMT2" s="14"/>
      <c r="MMU2" s="14"/>
      <c r="MMV2" s="14"/>
      <c r="MMW2" s="14"/>
      <c r="MMX2" s="14"/>
      <c r="MMY2" s="14"/>
      <c r="MMZ2" s="14"/>
      <c r="MNA2" s="14"/>
      <c r="MNB2" s="14"/>
      <c r="MNC2" s="14"/>
      <c r="MND2" s="14"/>
      <c r="MNE2" s="14"/>
      <c r="MNF2" s="14"/>
      <c r="MNG2" s="14"/>
      <c r="MNH2" s="14"/>
      <c r="MNI2" s="14"/>
      <c r="MNJ2" s="14"/>
      <c r="MNK2" s="14"/>
      <c r="MNL2" s="14"/>
      <c r="MNM2" s="14"/>
      <c r="MNN2" s="14"/>
      <c r="MNO2" s="14"/>
      <c r="MNP2" s="14"/>
      <c r="MNQ2" s="14"/>
      <c r="MNR2" s="14"/>
      <c r="MNS2" s="14"/>
      <c r="MNT2" s="14"/>
      <c r="MNU2" s="14"/>
      <c r="MNV2" s="14"/>
      <c r="MNW2" s="14"/>
      <c r="MNX2" s="14"/>
      <c r="MNY2" s="14"/>
      <c r="MNZ2" s="14"/>
      <c r="MOA2" s="14"/>
      <c r="MOB2" s="14"/>
      <c r="MOC2" s="14"/>
      <c r="MOD2" s="14"/>
      <c r="MOE2" s="14"/>
      <c r="MOF2" s="14"/>
      <c r="MOG2" s="14"/>
      <c r="MOH2" s="14"/>
      <c r="MOI2" s="14"/>
      <c r="MOJ2" s="14"/>
      <c r="MOK2" s="14"/>
      <c r="MOL2" s="14"/>
      <c r="MOM2" s="14"/>
      <c r="MON2" s="14"/>
      <c r="MOO2" s="14"/>
      <c r="MOP2" s="14"/>
      <c r="MOQ2" s="14"/>
      <c r="MOR2" s="14"/>
      <c r="MOS2" s="14"/>
      <c r="MOT2" s="14"/>
      <c r="MOU2" s="14"/>
      <c r="MOV2" s="14"/>
      <c r="MOW2" s="14"/>
      <c r="MOX2" s="14"/>
      <c r="MOY2" s="14"/>
      <c r="MOZ2" s="14"/>
      <c r="MPA2" s="14"/>
      <c r="MPB2" s="14"/>
      <c r="MPC2" s="14"/>
      <c r="MPD2" s="14"/>
      <c r="MPE2" s="14"/>
      <c r="MPF2" s="14"/>
      <c r="MPG2" s="14"/>
      <c r="MPH2" s="14"/>
      <c r="MPI2" s="14"/>
      <c r="MPJ2" s="14"/>
      <c r="MPK2" s="14"/>
      <c r="MPL2" s="14"/>
      <c r="MPM2" s="14"/>
      <c r="MPN2" s="14"/>
      <c r="MPO2" s="14"/>
      <c r="MPP2" s="14"/>
      <c r="MPQ2" s="14"/>
      <c r="MPR2" s="14"/>
      <c r="MPS2" s="14"/>
      <c r="MPT2" s="14"/>
      <c r="MPU2" s="14"/>
      <c r="MPV2" s="14"/>
      <c r="MPW2" s="14"/>
      <c r="MPX2" s="14"/>
      <c r="MPY2" s="14"/>
      <c r="MPZ2" s="14"/>
      <c r="MQA2" s="14"/>
      <c r="MQB2" s="14"/>
      <c r="MQC2" s="14"/>
      <c r="MQD2" s="14"/>
      <c r="MQE2" s="14"/>
      <c r="MQF2" s="14"/>
      <c r="MQG2" s="14"/>
      <c r="MQH2" s="14"/>
      <c r="MQI2" s="14"/>
      <c r="MQJ2" s="14"/>
      <c r="MQK2" s="14"/>
      <c r="MQL2" s="14"/>
      <c r="MQM2" s="14"/>
      <c r="MQN2" s="14"/>
      <c r="MQO2" s="14"/>
      <c r="MQP2" s="14"/>
      <c r="MQQ2" s="14"/>
      <c r="MQR2" s="14"/>
      <c r="MQS2" s="14"/>
      <c r="MQT2" s="14"/>
      <c r="MQU2" s="14"/>
      <c r="MQV2" s="14"/>
      <c r="MQW2" s="14"/>
      <c r="MQX2" s="14"/>
      <c r="MQY2" s="14"/>
      <c r="MQZ2" s="14"/>
      <c r="MRA2" s="14"/>
      <c r="MRB2" s="14"/>
      <c r="MRC2" s="14"/>
      <c r="MRD2" s="14"/>
      <c r="MRE2" s="14"/>
      <c r="MRF2" s="14"/>
      <c r="MRG2" s="14"/>
      <c r="MRH2" s="14"/>
      <c r="MRI2" s="14"/>
      <c r="MRJ2" s="14"/>
      <c r="MRK2" s="14"/>
      <c r="MRL2" s="14"/>
      <c r="MRM2" s="14"/>
      <c r="MRN2" s="14"/>
      <c r="MRO2" s="14"/>
      <c r="MRP2" s="14"/>
      <c r="MRQ2" s="14"/>
      <c r="MRR2" s="14"/>
      <c r="MRS2" s="14"/>
      <c r="MRT2" s="14"/>
      <c r="MRU2" s="14"/>
      <c r="MRV2" s="14"/>
      <c r="MRW2" s="14"/>
      <c r="MRX2" s="14"/>
      <c r="MRY2" s="14"/>
      <c r="MRZ2" s="14"/>
      <c r="MSA2" s="14"/>
      <c r="MSB2" s="14"/>
      <c r="MSC2" s="14"/>
      <c r="MSD2" s="14"/>
      <c r="MSE2" s="14"/>
      <c r="MSF2" s="14"/>
      <c r="MSG2" s="14"/>
      <c r="MSH2" s="14"/>
      <c r="MSI2" s="14"/>
      <c r="MSJ2" s="14"/>
      <c r="MSK2" s="14"/>
      <c r="MSL2" s="14"/>
      <c r="MSM2" s="14"/>
      <c r="MSN2" s="14"/>
      <c r="MSO2" s="14"/>
      <c r="MSP2" s="14"/>
      <c r="MSQ2" s="14"/>
      <c r="MSR2" s="14"/>
      <c r="MSS2" s="14"/>
      <c r="MST2" s="14"/>
      <c r="MSU2" s="14"/>
      <c r="MSV2" s="14"/>
      <c r="MSW2" s="14"/>
      <c r="MSX2" s="14"/>
      <c r="MSY2" s="14"/>
      <c r="MSZ2" s="14"/>
      <c r="MTA2" s="14"/>
      <c r="MTB2" s="14"/>
      <c r="MTC2" s="14"/>
      <c r="MTD2" s="14"/>
      <c r="MTE2" s="14"/>
      <c r="MTF2" s="14"/>
      <c r="MTG2" s="14"/>
      <c r="MTH2" s="14"/>
      <c r="MTI2" s="14"/>
      <c r="MTJ2" s="14"/>
      <c r="MTK2" s="14"/>
      <c r="MTL2" s="14"/>
      <c r="MTM2" s="14"/>
      <c r="MTN2" s="14"/>
      <c r="MTO2" s="14"/>
      <c r="MTP2" s="14"/>
      <c r="MTQ2" s="14"/>
      <c r="MTR2" s="14"/>
      <c r="MTS2" s="14"/>
      <c r="MTT2" s="14"/>
      <c r="MTU2" s="14"/>
      <c r="MTV2" s="14"/>
      <c r="MTW2" s="14"/>
      <c r="MTX2" s="14"/>
      <c r="MTY2" s="14"/>
      <c r="MTZ2" s="14"/>
      <c r="MUA2" s="14"/>
      <c r="MUB2" s="14"/>
      <c r="MUC2" s="14"/>
      <c r="MUD2" s="14"/>
      <c r="MUE2" s="14"/>
      <c r="MUF2" s="14"/>
      <c r="MUG2" s="14"/>
      <c r="MUH2" s="14"/>
      <c r="MUI2" s="14"/>
      <c r="MUJ2" s="14"/>
      <c r="MUK2" s="14"/>
      <c r="MUL2" s="14"/>
      <c r="MUM2" s="14"/>
      <c r="MUN2" s="14"/>
      <c r="MUO2" s="14"/>
      <c r="MUP2" s="14"/>
      <c r="MUQ2" s="14"/>
      <c r="MUR2" s="14"/>
      <c r="MUS2" s="14"/>
      <c r="MUT2" s="14"/>
      <c r="MUU2" s="14"/>
      <c r="MUV2" s="14"/>
      <c r="MUW2" s="14"/>
      <c r="MUX2" s="14"/>
      <c r="MUY2" s="14"/>
      <c r="MUZ2" s="14"/>
      <c r="MVA2" s="14"/>
      <c r="MVB2" s="14"/>
      <c r="MVC2" s="14"/>
      <c r="MVD2" s="14"/>
      <c r="MVE2" s="14"/>
      <c r="MVF2" s="14"/>
      <c r="MVG2" s="14"/>
      <c r="MVH2" s="14"/>
      <c r="MVI2" s="14"/>
      <c r="MVJ2" s="14"/>
      <c r="MVK2" s="14"/>
      <c r="MVL2" s="14"/>
      <c r="MVM2" s="14"/>
      <c r="MVN2" s="14"/>
      <c r="MVO2" s="14"/>
      <c r="MVP2" s="14"/>
      <c r="MVQ2" s="14"/>
      <c r="MVR2" s="14"/>
      <c r="MVS2" s="14"/>
      <c r="MVT2" s="14"/>
      <c r="MVU2" s="14"/>
      <c r="MVV2" s="14"/>
      <c r="MVW2" s="14"/>
      <c r="MVX2" s="14"/>
      <c r="MVY2" s="14"/>
      <c r="MVZ2" s="14"/>
      <c r="MWA2" s="14"/>
      <c r="MWB2" s="14"/>
      <c r="MWC2" s="14"/>
      <c r="MWD2" s="14"/>
      <c r="MWE2" s="14"/>
      <c r="MWF2" s="14"/>
      <c r="MWG2" s="14"/>
      <c r="MWH2" s="14"/>
      <c r="MWI2" s="14"/>
      <c r="MWJ2" s="14"/>
      <c r="MWK2" s="14"/>
      <c r="MWL2" s="14"/>
      <c r="MWM2" s="14"/>
      <c r="MWN2" s="14"/>
      <c r="MWO2" s="14"/>
      <c r="MWP2" s="14"/>
      <c r="MWQ2" s="14"/>
      <c r="MWR2" s="14"/>
      <c r="MWS2" s="14"/>
      <c r="MWT2" s="14"/>
      <c r="MWU2" s="14"/>
      <c r="MWV2" s="14"/>
      <c r="MWW2" s="14"/>
      <c r="MWX2" s="14"/>
      <c r="MWY2" s="14"/>
      <c r="MWZ2" s="14"/>
      <c r="MXA2" s="14"/>
      <c r="MXB2" s="14"/>
      <c r="MXC2" s="14"/>
      <c r="MXD2" s="14"/>
      <c r="MXE2" s="14"/>
      <c r="MXF2" s="14"/>
      <c r="MXG2" s="14"/>
      <c r="MXH2" s="14"/>
      <c r="MXI2" s="14"/>
      <c r="MXJ2" s="14"/>
      <c r="MXK2" s="14"/>
      <c r="MXL2" s="14"/>
      <c r="MXM2" s="14"/>
      <c r="MXN2" s="14"/>
      <c r="MXO2" s="14"/>
      <c r="MXP2" s="14"/>
      <c r="MXQ2" s="14"/>
      <c r="MXR2" s="14"/>
      <c r="MXS2" s="14"/>
      <c r="MXT2" s="14"/>
      <c r="MXU2" s="14"/>
      <c r="MXV2" s="14"/>
      <c r="MXW2" s="14"/>
      <c r="MXX2" s="14"/>
      <c r="MXY2" s="14"/>
      <c r="MXZ2" s="14"/>
      <c r="MYA2" s="14"/>
      <c r="MYB2" s="14"/>
      <c r="MYC2" s="14"/>
      <c r="MYD2" s="14"/>
      <c r="MYE2" s="14"/>
      <c r="MYF2" s="14"/>
      <c r="MYG2" s="14"/>
      <c r="MYH2" s="14"/>
      <c r="MYI2" s="14"/>
      <c r="MYJ2" s="14"/>
      <c r="MYK2" s="14"/>
      <c r="MYL2" s="14"/>
      <c r="MYM2" s="14"/>
      <c r="MYN2" s="14"/>
      <c r="MYO2" s="14"/>
      <c r="MYP2" s="14"/>
      <c r="MYQ2" s="14"/>
      <c r="MYR2" s="14"/>
      <c r="MYS2" s="14"/>
      <c r="MYT2" s="14"/>
      <c r="MYU2" s="14"/>
      <c r="MYV2" s="14"/>
      <c r="MYW2" s="14"/>
      <c r="MYX2" s="14"/>
      <c r="MYY2" s="14"/>
      <c r="MYZ2" s="14"/>
      <c r="MZA2" s="14"/>
      <c r="MZB2" s="14"/>
      <c r="MZC2" s="14"/>
      <c r="MZD2" s="14"/>
      <c r="MZE2" s="14"/>
      <c r="MZF2" s="14"/>
      <c r="MZG2" s="14"/>
      <c r="MZH2" s="14"/>
      <c r="MZI2" s="14"/>
      <c r="MZJ2" s="14"/>
      <c r="MZK2" s="14"/>
      <c r="MZL2" s="14"/>
      <c r="MZM2" s="14"/>
      <c r="MZN2" s="14"/>
      <c r="MZO2" s="14"/>
      <c r="MZP2" s="14"/>
      <c r="MZQ2" s="14"/>
      <c r="MZR2" s="14"/>
      <c r="MZS2" s="14"/>
      <c r="MZT2" s="14"/>
      <c r="MZU2" s="14"/>
      <c r="MZV2" s="14"/>
      <c r="MZW2" s="14"/>
      <c r="MZX2" s="14"/>
      <c r="MZY2" s="14"/>
      <c r="MZZ2" s="14"/>
      <c r="NAA2" s="14"/>
      <c r="NAB2" s="14"/>
      <c r="NAC2" s="14"/>
      <c r="NAD2" s="14"/>
      <c r="NAE2" s="14"/>
      <c r="NAF2" s="14"/>
      <c r="NAG2" s="14"/>
      <c r="NAH2" s="14"/>
      <c r="NAI2" s="14"/>
      <c r="NAJ2" s="14"/>
      <c r="NAK2" s="14"/>
      <c r="NAL2" s="14"/>
      <c r="NAM2" s="14"/>
      <c r="NAN2" s="14"/>
      <c r="NAO2" s="14"/>
      <c r="NAP2" s="14"/>
      <c r="NAQ2" s="14"/>
      <c r="NAR2" s="14"/>
      <c r="NAS2" s="14"/>
      <c r="NAT2" s="14"/>
      <c r="NAU2" s="14"/>
      <c r="NAV2" s="14"/>
      <c r="NAW2" s="14"/>
      <c r="NAX2" s="14"/>
      <c r="NAY2" s="14"/>
      <c r="NAZ2" s="14"/>
      <c r="NBA2" s="14"/>
      <c r="NBB2" s="14"/>
      <c r="NBC2" s="14"/>
      <c r="NBD2" s="14"/>
      <c r="NBE2" s="14"/>
      <c r="NBF2" s="14"/>
      <c r="NBG2" s="14"/>
      <c r="NBH2" s="14"/>
      <c r="NBI2" s="14"/>
      <c r="NBJ2" s="14"/>
      <c r="NBK2" s="14"/>
      <c r="NBL2" s="14"/>
      <c r="NBM2" s="14"/>
      <c r="NBN2" s="14"/>
      <c r="NBO2" s="14"/>
      <c r="NBP2" s="14"/>
      <c r="NBQ2" s="14"/>
      <c r="NBR2" s="14"/>
      <c r="NBS2" s="14"/>
      <c r="NBT2" s="14"/>
      <c r="NBU2" s="14"/>
      <c r="NBV2" s="14"/>
      <c r="NBW2" s="14"/>
      <c r="NBX2" s="14"/>
      <c r="NBY2" s="14"/>
      <c r="NBZ2" s="14"/>
      <c r="NCA2" s="14"/>
      <c r="NCB2" s="14"/>
      <c r="NCC2" s="14"/>
      <c r="NCD2" s="14"/>
      <c r="NCE2" s="14"/>
      <c r="NCF2" s="14"/>
      <c r="NCG2" s="14"/>
      <c r="NCH2" s="14"/>
      <c r="NCI2" s="14"/>
      <c r="NCJ2" s="14"/>
      <c r="NCK2" s="14"/>
      <c r="NCL2" s="14"/>
      <c r="NCM2" s="14"/>
      <c r="NCN2" s="14"/>
      <c r="NCO2" s="14"/>
      <c r="NCP2" s="14"/>
      <c r="NCQ2" s="14"/>
      <c r="NCR2" s="14"/>
      <c r="NCS2" s="14"/>
      <c r="NCT2" s="14"/>
      <c r="NCU2" s="14"/>
      <c r="NCV2" s="14"/>
      <c r="NCW2" s="14"/>
      <c r="NCX2" s="14"/>
      <c r="NCY2" s="14"/>
      <c r="NCZ2" s="14"/>
      <c r="NDA2" s="14"/>
      <c r="NDB2" s="14"/>
      <c r="NDC2" s="14"/>
      <c r="NDD2" s="14"/>
      <c r="NDE2" s="14"/>
      <c r="NDF2" s="14"/>
      <c r="NDG2" s="14"/>
      <c r="NDH2" s="14"/>
      <c r="NDI2" s="14"/>
      <c r="NDJ2" s="14"/>
      <c r="NDK2" s="14"/>
      <c r="NDL2" s="14"/>
      <c r="NDM2" s="14"/>
      <c r="NDN2" s="14"/>
      <c r="NDO2" s="14"/>
      <c r="NDP2" s="14"/>
      <c r="NDQ2" s="14"/>
      <c r="NDR2" s="14"/>
      <c r="NDS2" s="14"/>
      <c r="NDT2" s="14"/>
      <c r="NDU2" s="14"/>
      <c r="NDV2" s="14"/>
      <c r="NDW2" s="14"/>
      <c r="NDX2" s="14"/>
      <c r="NDY2" s="14"/>
      <c r="NDZ2" s="14"/>
      <c r="NEA2" s="14"/>
      <c r="NEB2" s="14"/>
      <c r="NEC2" s="14"/>
      <c r="NED2" s="14"/>
      <c r="NEE2" s="14"/>
      <c r="NEF2" s="14"/>
      <c r="NEG2" s="14"/>
      <c r="NEH2" s="14"/>
      <c r="NEI2" s="14"/>
      <c r="NEJ2" s="14"/>
      <c r="NEK2" s="14"/>
      <c r="NEL2" s="14"/>
      <c r="NEM2" s="14"/>
      <c r="NEN2" s="14"/>
      <c r="NEO2" s="14"/>
      <c r="NEP2" s="14"/>
      <c r="NEQ2" s="14"/>
      <c r="NER2" s="14"/>
      <c r="NES2" s="14"/>
      <c r="NET2" s="14"/>
      <c r="NEU2" s="14"/>
      <c r="NEV2" s="14"/>
      <c r="NEW2" s="14"/>
      <c r="NEX2" s="14"/>
      <c r="NEY2" s="14"/>
      <c r="NEZ2" s="14"/>
      <c r="NFA2" s="14"/>
      <c r="NFB2" s="14"/>
      <c r="NFC2" s="14"/>
      <c r="NFD2" s="14"/>
      <c r="NFE2" s="14"/>
      <c r="NFF2" s="14"/>
      <c r="NFG2" s="14"/>
      <c r="NFH2" s="14"/>
      <c r="NFI2" s="14"/>
      <c r="NFJ2" s="14"/>
      <c r="NFK2" s="14"/>
      <c r="NFL2" s="14"/>
      <c r="NFM2" s="14"/>
      <c r="NFN2" s="14"/>
      <c r="NFO2" s="14"/>
      <c r="NFP2" s="14"/>
      <c r="NFQ2" s="14"/>
      <c r="NFR2" s="14"/>
      <c r="NFS2" s="14"/>
      <c r="NFT2" s="14"/>
      <c r="NFU2" s="14"/>
      <c r="NFV2" s="14"/>
      <c r="NFW2" s="14"/>
      <c r="NFX2" s="14"/>
      <c r="NFY2" s="14"/>
      <c r="NFZ2" s="14"/>
      <c r="NGA2" s="14"/>
      <c r="NGB2" s="14"/>
      <c r="NGC2" s="14"/>
      <c r="NGD2" s="14"/>
      <c r="NGE2" s="14"/>
      <c r="NGF2" s="14"/>
      <c r="NGG2" s="14"/>
      <c r="NGH2" s="14"/>
      <c r="NGI2" s="14"/>
      <c r="NGJ2" s="14"/>
      <c r="NGK2" s="14"/>
      <c r="NGL2" s="14"/>
      <c r="NGM2" s="14"/>
      <c r="NGN2" s="14"/>
      <c r="NGO2" s="14"/>
      <c r="NGP2" s="14"/>
      <c r="NGQ2" s="14"/>
      <c r="NGR2" s="14"/>
      <c r="NGS2" s="14"/>
      <c r="NGT2" s="14"/>
      <c r="NGU2" s="14"/>
      <c r="NGV2" s="14"/>
      <c r="NGW2" s="14"/>
      <c r="NGX2" s="14"/>
      <c r="NGY2" s="14"/>
      <c r="NGZ2" s="14"/>
      <c r="NHA2" s="14"/>
      <c r="NHB2" s="14"/>
      <c r="NHC2" s="14"/>
      <c r="NHD2" s="14"/>
      <c r="NHE2" s="14"/>
      <c r="NHF2" s="14"/>
      <c r="NHG2" s="14"/>
      <c r="NHH2" s="14"/>
      <c r="NHI2" s="14"/>
      <c r="NHJ2" s="14"/>
      <c r="NHK2" s="14"/>
      <c r="NHL2" s="14"/>
      <c r="NHM2" s="14"/>
      <c r="NHN2" s="14"/>
      <c r="NHO2" s="14"/>
      <c r="NHP2" s="14"/>
      <c r="NHQ2" s="14"/>
      <c r="NHR2" s="14"/>
      <c r="NHS2" s="14"/>
      <c r="NHT2" s="14"/>
      <c r="NHU2" s="14"/>
      <c r="NHV2" s="14"/>
      <c r="NHW2" s="14"/>
      <c r="NHX2" s="14"/>
      <c r="NHY2" s="14"/>
      <c r="NHZ2" s="14"/>
      <c r="NIA2" s="14"/>
      <c r="NIB2" s="14"/>
      <c r="NIC2" s="14"/>
      <c r="NID2" s="14"/>
      <c r="NIE2" s="14"/>
      <c r="NIF2" s="14"/>
      <c r="NIG2" s="14"/>
      <c r="NIH2" s="14"/>
      <c r="NII2" s="14"/>
      <c r="NIJ2" s="14"/>
      <c r="NIK2" s="14"/>
      <c r="NIL2" s="14"/>
      <c r="NIM2" s="14"/>
      <c r="NIN2" s="14"/>
      <c r="NIO2" s="14"/>
      <c r="NIP2" s="14"/>
      <c r="NIQ2" s="14"/>
      <c r="NIR2" s="14"/>
      <c r="NIS2" s="14"/>
      <c r="NIT2" s="14"/>
      <c r="NIU2" s="14"/>
      <c r="NIV2" s="14"/>
      <c r="NIW2" s="14"/>
      <c r="NIX2" s="14"/>
      <c r="NIY2" s="14"/>
      <c r="NIZ2" s="14"/>
      <c r="NJA2" s="14"/>
      <c r="NJB2" s="14"/>
      <c r="NJC2" s="14"/>
      <c r="NJD2" s="14"/>
      <c r="NJE2" s="14"/>
      <c r="NJF2" s="14"/>
      <c r="NJG2" s="14"/>
      <c r="NJH2" s="14"/>
      <c r="NJI2" s="14"/>
      <c r="NJJ2" s="14"/>
      <c r="NJK2" s="14"/>
      <c r="NJL2" s="14"/>
      <c r="NJM2" s="14"/>
      <c r="NJN2" s="14"/>
      <c r="NJO2" s="14"/>
      <c r="NJP2" s="14"/>
      <c r="NJQ2" s="14"/>
      <c r="NJR2" s="14"/>
      <c r="NJS2" s="14"/>
      <c r="NJT2" s="14"/>
      <c r="NJU2" s="14"/>
      <c r="NJV2" s="14"/>
      <c r="NJW2" s="14"/>
      <c r="NJX2" s="14"/>
      <c r="NJY2" s="14"/>
      <c r="NJZ2" s="14"/>
      <c r="NKA2" s="14"/>
      <c r="NKB2" s="14"/>
      <c r="NKC2" s="14"/>
      <c r="NKD2" s="14"/>
      <c r="NKE2" s="14"/>
      <c r="NKF2" s="14"/>
      <c r="NKG2" s="14"/>
      <c r="NKH2" s="14"/>
      <c r="NKI2" s="14"/>
      <c r="NKJ2" s="14"/>
      <c r="NKK2" s="14"/>
      <c r="NKL2" s="14"/>
      <c r="NKM2" s="14"/>
      <c r="NKN2" s="14"/>
      <c r="NKO2" s="14"/>
      <c r="NKP2" s="14"/>
      <c r="NKQ2" s="14"/>
      <c r="NKR2" s="14"/>
      <c r="NKS2" s="14"/>
      <c r="NKT2" s="14"/>
      <c r="NKU2" s="14"/>
      <c r="NKV2" s="14"/>
      <c r="NKW2" s="14"/>
      <c r="NKX2" s="14"/>
      <c r="NKY2" s="14"/>
      <c r="NKZ2" s="14"/>
      <c r="NLA2" s="14"/>
      <c r="NLB2" s="14"/>
      <c r="NLC2" s="14"/>
      <c r="NLD2" s="14"/>
      <c r="NLE2" s="14"/>
      <c r="NLF2" s="14"/>
      <c r="NLG2" s="14"/>
      <c r="NLH2" s="14"/>
      <c r="NLI2" s="14"/>
      <c r="NLJ2" s="14"/>
      <c r="NLK2" s="14"/>
      <c r="NLL2" s="14"/>
      <c r="NLM2" s="14"/>
      <c r="NLN2" s="14"/>
      <c r="NLO2" s="14"/>
      <c r="NLP2" s="14"/>
      <c r="NLQ2" s="14"/>
      <c r="NLR2" s="14"/>
      <c r="NLS2" s="14"/>
      <c r="NLT2" s="14"/>
      <c r="NLU2" s="14"/>
      <c r="NLV2" s="14"/>
      <c r="NLW2" s="14"/>
      <c r="NLX2" s="14"/>
      <c r="NLY2" s="14"/>
      <c r="NLZ2" s="14"/>
      <c r="NMA2" s="14"/>
      <c r="NMB2" s="14"/>
      <c r="NMC2" s="14"/>
      <c r="NMD2" s="14"/>
      <c r="NME2" s="14"/>
      <c r="NMF2" s="14"/>
      <c r="NMG2" s="14"/>
      <c r="NMH2" s="14"/>
      <c r="NMI2" s="14"/>
      <c r="NMJ2" s="14"/>
      <c r="NMK2" s="14"/>
      <c r="NML2" s="14"/>
      <c r="NMM2" s="14"/>
      <c r="NMN2" s="14"/>
      <c r="NMO2" s="14"/>
      <c r="NMP2" s="14"/>
      <c r="NMQ2" s="14"/>
      <c r="NMR2" s="14"/>
      <c r="NMS2" s="14"/>
      <c r="NMT2" s="14"/>
      <c r="NMU2" s="14"/>
      <c r="NMV2" s="14"/>
      <c r="NMW2" s="14"/>
      <c r="NMX2" s="14"/>
      <c r="NMY2" s="14"/>
      <c r="NMZ2" s="14"/>
      <c r="NNA2" s="14"/>
      <c r="NNB2" s="14"/>
      <c r="NNC2" s="14"/>
      <c r="NND2" s="14"/>
      <c r="NNE2" s="14"/>
      <c r="NNF2" s="14"/>
      <c r="NNG2" s="14"/>
      <c r="NNH2" s="14"/>
      <c r="NNI2" s="14"/>
      <c r="NNJ2" s="14"/>
      <c r="NNK2" s="14"/>
      <c r="NNL2" s="14"/>
      <c r="NNM2" s="14"/>
      <c r="NNN2" s="14"/>
      <c r="NNO2" s="14"/>
      <c r="NNP2" s="14"/>
      <c r="NNQ2" s="14"/>
      <c r="NNR2" s="14"/>
      <c r="NNS2" s="14"/>
      <c r="NNT2" s="14"/>
      <c r="NNU2" s="14"/>
      <c r="NNV2" s="14"/>
      <c r="NNW2" s="14"/>
      <c r="NNX2" s="14"/>
      <c r="NNY2" s="14"/>
      <c r="NNZ2" s="14"/>
      <c r="NOA2" s="14"/>
      <c r="NOB2" s="14"/>
      <c r="NOC2" s="14"/>
      <c r="NOD2" s="14"/>
      <c r="NOE2" s="14"/>
      <c r="NOF2" s="14"/>
      <c r="NOG2" s="14"/>
      <c r="NOH2" s="14"/>
      <c r="NOI2" s="14"/>
      <c r="NOJ2" s="14"/>
      <c r="NOK2" s="14"/>
      <c r="NOL2" s="14"/>
      <c r="NOM2" s="14"/>
      <c r="NON2" s="14"/>
      <c r="NOO2" s="14"/>
      <c r="NOP2" s="14"/>
      <c r="NOQ2" s="14"/>
      <c r="NOR2" s="14"/>
      <c r="NOS2" s="14"/>
      <c r="NOT2" s="14"/>
      <c r="NOU2" s="14"/>
      <c r="NOV2" s="14"/>
      <c r="NOW2" s="14"/>
      <c r="NOX2" s="14"/>
      <c r="NOY2" s="14"/>
      <c r="NOZ2" s="14"/>
      <c r="NPA2" s="14"/>
      <c r="NPB2" s="14"/>
      <c r="NPC2" s="14"/>
      <c r="NPD2" s="14"/>
      <c r="NPE2" s="14"/>
      <c r="NPF2" s="14"/>
      <c r="NPG2" s="14"/>
      <c r="NPH2" s="14"/>
      <c r="NPI2" s="14"/>
      <c r="NPJ2" s="14"/>
      <c r="NPK2" s="14"/>
      <c r="NPL2" s="14"/>
      <c r="NPM2" s="14"/>
      <c r="NPN2" s="14"/>
      <c r="NPO2" s="14"/>
      <c r="NPP2" s="14"/>
      <c r="NPQ2" s="14"/>
      <c r="NPR2" s="14"/>
      <c r="NPS2" s="14"/>
      <c r="NPT2" s="14"/>
      <c r="NPU2" s="14"/>
      <c r="NPV2" s="14"/>
      <c r="NPW2" s="14"/>
      <c r="NPX2" s="14"/>
      <c r="NPY2" s="14"/>
      <c r="NPZ2" s="14"/>
      <c r="NQA2" s="14"/>
      <c r="NQB2" s="14"/>
      <c r="NQC2" s="14"/>
      <c r="NQD2" s="14"/>
      <c r="NQE2" s="14"/>
      <c r="NQF2" s="14"/>
      <c r="NQG2" s="14"/>
      <c r="NQH2" s="14"/>
      <c r="NQI2" s="14"/>
      <c r="NQJ2" s="14"/>
      <c r="NQK2" s="14"/>
      <c r="NQL2" s="14"/>
      <c r="NQM2" s="14"/>
      <c r="NQN2" s="14"/>
      <c r="NQO2" s="14"/>
      <c r="NQP2" s="14"/>
      <c r="NQQ2" s="14"/>
      <c r="NQR2" s="14"/>
      <c r="NQS2" s="14"/>
      <c r="NQT2" s="14"/>
      <c r="NQU2" s="14"/>
      <c r="NQV2" s="14"/>
      <c r="NQW2" s="14"/>
      <c r="NQX2" s="14"/>
      <c r="NQY2" s="14"/>
      <c r="NQZ2" s="14"/>
      <c r="NRA2" s="14"/>
      <c r="NRB2" s="14"/>
      <c r="NRC2" s="14"/>
      <c r="NRD2" s="14"/>
      <c r="NRE2" s="14"/>
      <c r="NRF2" s="14"/>
      <c r="NRG2" s="14"/>
      <c r="NRH2" s="14"/>
      <c r="NRI2" s="14"/>
      <c r="NRJ2" s="14"/>
      <c r="NRK2" s="14"/>
      <c r="NRL2" s="14"/>
      <c r="NRM2" s="14"/>
      <c r="NRN2" s="14"/>
      <c r="NRO2" s="14"/>
      <c r="NRP2" s="14"/>
      <c r="NRQ2" s="14"/>
      <c r="NRR2" s="14"/>
      <c r="NRS2" s="14"/>
      <c r="NRT2" s="14"/>
      <c r="NRU2" s="14"/>
      <c r="NRV2" s="14"/>
      <c r="NRW2" s="14"/>
      <c r="NRX2" s="14"/>
      <c r="NRY2" s="14"/>
      <c r="NRZ2" s="14"/>
      <c r="NSA2" s="14"/>
      <c r="NSB2" s="14"/>
      <c r="NSC2" s="14"/>
      <c r="NSD2" s="14"/>
      <c r="NSE2" s="14"/>
      <c r="NSF2" s="14"/>
      <c r="NSG2" s="14"/>
      <c r="NSH2" s="14"/>
      <c r="NSI2" s="14"/>
      <c r="NSJ2" s="14"/>
      <c r="NSK2" s="14"/>
      <c r="NSL2" s="14"/>
      <c r="NSM2" s="14"/>
      <c r="NSN2" s="14"/>
      <c r="NSO2" s="14"/>
      <c r="NSP2" s="14"/>
      <c r="NSQ2" s="14"/>
      <c r="NSR2" s="14"/>
      <c r="NSS2" s="14"/>
      <c r="NST2" s="14"/>
      <c r="NSU2" s="14"/>
      <c r="NSV2" s="14"/>
      <c r="NSW2" s="14"/>
      <c r="NSX2" s="14"/>
      <c r="NSY2" s="14"/>
      <c r="NSZ2" s="14"/>
      <c r="NTA2" s="14"/>
      <c r="NTB2" s="14"/>
      <c r="NTC2" s="14"/>
      <c r="NTD2" s="14"/>
      <c r="NTE2" s="14"/>
      <c r="NTF2" s="14"/>
      <c r="NTG2" s="14"/>
      <c r="NTH2" s="14"/>
      <c r="NTI2" s="14"/>
      <c r="NTJ2" s="14"/>
      <c r="NTK2" s="14"/>
      <c r="NTL2" s="14"/>
      <c r="NTM2" s="14"/>
      <c r="NTN2" s="14"/>
      <c r="NTO2" s="14"/>
      <c r="NTP2" s="14"/>
      <c r="NTQ2" s="14"/>
      <c r="NTR2" s="14"/>
      <c r="NTS2" s="14"/>
      <c r="NTT2" s="14"/>
      <c r="NTU2" s="14"/>
      <c r="NTV2" s="14"/>
      <c r="NTW2" s="14"/>
      <c r="NTX2" s="14"/>
      <c r="NTY2" s="14"/>
      <c r="NTZ2" s="14"/>
      <c r="NUA2" s="14"/>
      <c r="NUB2" s="14"/>
      <c r="NUC2" s="14"/>
      <c r="NUD2" s="14"/>
      <c r="NUE2" s="14"/>
      <c r="NUF2" s="14"/>
      <c r="NUG2" s="14"/>
      <c r="NUH2" s="14"/>
      <c r="NUI2" s="14"/>
      <c r="NUJ2" s="14"/>
      <c r="NUK2" s="14"/>
      <c r="NUL2" s="14"/>
      <c r="NUM2" s="14"/>
      <c r="NUN2" s="14"/>
      <c r="NUO2" s="14"/>
      <c r="NUP2" s="14"/>
      <c r="NUQ2" s="14"/>
      <c r="NUR2" s="14"/>
      <c r="NUS2" s="14"/>
      <c r="NUT2" s="14"/>
      <c r="NUU2" s="14"/>
      <c r="NUV2" s="14"/>
      <c r="NUW2" s="14"/>
      <c r="NUX2" s="14"/>
      <c r="NUY2" s="14"/>
      <c r="NUZ2" s="14"/>
      <c r="NVA2" s="14"/>
      <c r="NVB2" s="14"/>
      <c r="NVC2" s="14"/>
      <c r="NVD2" s="14"/>
      <c r="NVE2" s="14"/>
      <c r="NVF2" s="14"/>
      <c r="NVG2" s="14"/>
      <c r="NVH2" s="14"/>
      <c r="NVI2" s="14"/>
      <c r="NVJ2" s="14"/>
      <c r="NVK2" s="14"/>
      <c r="NVL2" s="14"/>
      <c r="NVM2" s="14"/>
      <c r="NVN2" s="14"/>
      <c r="NVO2" s="14"/>
      <c r="NVP2" s="14"/>
      <c r="NVQ2" s="14"/>
      <c r="NVR2" s="14"/>
      <c r="NVS2" s="14"/>
      <c r="NVT2" s="14"/>
      <c r="NVU2" s="14"/>
      <c r="NVV2" s="14"/>
      <c r="NVW2" s="14"/>
      <c r="NVX2" s="14"/>
      <c r="NVY2" s="14"/>
      <c r="NVZ2" s="14"/>
      <c r="NWA2" s="14"/>
      <c r="NWB2" s="14"/>
      <c r="NWC2" s="14"/>
      <c r="NWD2" s="14"/>
      <c r="NWE2" s="14"/>
      <c r="NWF2" s="14"/>
      <c r="NWG2" s="14"/>
      <c r="NWH2" s="14"/>
      <c r="NWI2" s="14"/>
      <c r="NWJ2" s="14"/>
      <c r="NWK2" s="14"/>
      <c r="NWL2" s="14"/>
      <c r="NWM2" s="14"/>
      <c r="NWN2" s="14"/>
      <c r="NWO2" s="14"/>
      <c r="NWP2" s="14"/>
      <c r="NWQ2" s="14"/>
      <c r="NWR2" s="14"/>
      <c r="NWS2" s="14"/>
      <c r="NWT2" s="14"/>
      <c r="NWU2" s="14"/>
      <c r="NWV2" s="14"/>
      <c r="NWW2" s="14"/>
      <c r="NWX2" s="14"/>
      <c r="NWY2" s="14"/>
      <c r="NWZ2" s="14"/>
      <c r="NXA2" s="14"/>
      <c r="NXB2" s="14"/>
      <c r="NXC2" s="14"/>
      <c r="NXD2" s="14"/>
      <c r="NXE2" s="14"/>
      <c r="NXF2" s="14"/>
      <c r="NXG2" s="14"/>
      <c r="NXH2" s="14"/>
      <c r="NXI2" s="14"/>
      <c r="NXJ2" s="14"/>
      <c r="NXK2" s="14"/>
      <c r="NXL2" s="14"/>
      <c r="NXM2" s="14"/>
      <c r="NXN2" s="14"/>
      <c r="NXO2" s="14"/>
      <c r="NXP2" s="14"/>
      <c r="NXQ2" s="14"/>
      <c r="NXR2" s="14"/>
      <c r="NXS2" s="14"/>
      <c r="NXT2" s="14"/>
      <c r="NXU2" s="14"/>
      <c r="NXV2" s="14"/>
      <c r="NXW2" s="14"/>
      <c r="NXX2" s="14"/>
      <c r="NXY2" s="14"/>
      <c r="NXZ2" s="14"/>
      <c r="NYA2" s="14"/>
      <c r="NYB2" s="14"/>
      <c r="NYC2" s="14"/>
      <c r="NYD2" s="14"/>
      <c r="NYE2" s="14"/>
      <c r="NYF2" s="14"/>
      <c r="NYG2" s="14"/>
      <c r="NYH2" s="14"/>
      <c r="NYI2" s="14"/>
      <c r="NYJ2" s="14"/>
      <c r="NYK2" s="14"/>
      <c r="NYL2" s="14"/>
      <c r="NYM2" s="14"/>
      <c r="NYN2" s="14"/>
      <c r="NYO2" s="14"/>
      <c r="NYP2" s="14"/>
      <c r="NYQ2" s="14"/>
      <c r="NYR2" s="14"/>
      <c r="NYS2" s="14"/>
      <c r="NYT2" s="14"/>
      <c r="NYU2" s="14"/>
      <c r="NYV2" s="14"/>
      <c r="NYW2" s="14"/>
      <c r="NYX2" s="14"/>
      <c r="NYY2" s="14"/>
      <c r="NYZ2" s="14"/>
      <c r="NZA2" s="14"/>
      <c r="NZB2" s="14"/>
      <c r="NZC2" s="14"/>
      <c r="NZD2" s="14"/>
      <c r="NZE2" s="14"/>
      <c r="NZF2" s="14"/>
      <c r="NZG2" s="14"/>
      <c r="NZH2" s="14"/>
      <c r="NZI2" s="14"/>
      <c r="NZJ2" s="14"/>
      <c r="NZK2" s="14"/>
      <c r="NZL2" s="14"/>
      <c r="NZM2" s="14"/>
      <c r="NZN2" s="14"/>
      <c r="NZO2" s="14"/>
      <c r="NZP2" s="14"/>
      <c r="NZQ2" s="14"/>
      <c r="NZR2" s="14"/>
      <c r="NZS2" s="14"/>
      <c r="NZT2" s="14"/>
      <c r="NZU2" s="14"/>
      <c r="NZV2" s="14"/>
      <c r="NZW2" s="14"/>
      <c r="NZX2" s="14"/>
      <c r="NZY2" s="14"/>
      <c r="NZZ2" s="14"/>
      <c r="OAA2" s="14"/>
      <c r="OAB2" s="14"/>
      <c r="OAC2" s="14"/>
      <c r="OAD2" s="14"/>
      <c r="OAE2" s="14"/>
      <c r="OAF2" s="14"/>
      <c r="OAG2" s="14"/>
      <c r="OAH2" s="14"/>
      <c r="OAI2" s="14"/>
      <c r="OAJ2" s="14"/>
      <c r="OAK2" s="14"/>
      <c r="OAL2" s="14"/>
      <c r="OAM2" s="14"/>
      <c r="OAN2" s="14"/>
      <c r="OAO2" s="14"/>
      <c r="OAP2" s="14"/>
      <c r="OAQ2" s="14"/>
      <c r="OAR2" s="14"/>
      <c r="OAS2" s="14"/>
      <c r="OAT2" s="14"/>
      <c r="OAU2" s="14"/>
      <c r="OAV2" s="14"/>
      <c r="OAW2" s="14"/>
      <c r="OAX2" s="14"/>
      <c r="OAY2" s="14"/>
      <c r="OAZ2" s="14"/>
      <c r="OBA2" s="14"/>
      <c r="OBB2" s="14"/>
      <c r="OBC2" s="14"/>
      <c r="OBD2" s="14"/>
      <c r="OBE2" s="14"/>
      <c r="OBF2" s="14"/>
      <c r="OBG2" s="14"/>
      <c r="OBH2" s="14"/>
      <c r="OBI2" s="14"/>
      <c r="OBJ2" s="14"/>
      <c r="OBK2" s="14"/>
      <c r="OBL2" s="14"/>
      <c r="OBM2" s="14"/>
      <c r="OBN2" s="14"/>
      <c r="OBO2" s="14"/>
      <c r="OBP2" s="14"/>
      <c r="OBQ2" s="14"/>
      <c r="OBR2" s="14"/>
      <c r="OBS2" s="14"/>
      <c r="OBT2" s="14"/>
      <c r="OBU2" s="14"/>
      <c r="OBV2" s="14"/>
      <c r="OBW2" s="14"/>
      <c r="OBX2" s="14"/>
      <c r="OBY2" s="14"/>
      <c r="OBZ2" s="14"/>
      <c r="OCA2" s="14"/>
      <c r="OCB2" s="14"/>
      <c r="OCC2" s="14"/>
      <c r="OCD2" s="14"/>
      <c r="OCE2" s="14"/>
      <c r="OCF2" s="14"/>
      <c r="OCG2" s="14"/>
      <c r="OCH2" s="14"/>
      <c r="OCI2" s="14"/>
      <c r="OCJ2" s="14"/>
      <c r="OCK2" s="14"/>
      <c r="OCL2" s="14"/>
      <c r="OCM2" s="14"/>
      <c r="OCN2" s="14"/>
      <c r="OCO2" s="14"/>
      <c r="OCP2" s="14"/>
      <c r="OCQ2" s="14"/>
      <c r="OCR2" s="14"/>
      <c r="OCS2" s="14"/>
      <c r="OCT2" s="14"/>
      <c r="OCU2" s="14"/>
      <c r="OCV2" s="14"/>
      <c r="OCW2" s="14"/>
      <c r="OCX2" s="14"/>
      <c r="OCY2" s="14"/>
      <c r="OCZ2" s="14"/>
      <c r="ODA2" s="14"/>
      <c r="ODB2" s="14"/>
      <c r="ODC2" s="14"/>
      <c r="ODD2" s="14"/>
      <c r="ODE2" s="14"/>
      <c r="ODF2" s="14"/>
      <c r="ODG2" s="14"/>
      <c r="ODH2" s="14"/>
      <c r="ODI2" s="14"/>
      <c r="ODJ2" s="14"/>
      <c r="ODK2" s="14"/>
      <c r="ODL2" s="14"/>
      <c r="ODM2" s="14"/>
      <c r="ODN2" s="14"/>
      <c r="ODO2" s="14"/>
      <c r="ODP2" s="14"/>
      <c r="ODQ2" s="14"/>
      <c r="ODR2" s="14"/>
      <c r="ODS2" s="14"/>
      <c r="ODT2" s="14"/>
      <c r="ODU2" s="14"/>
      <c r="ODV2" s="14"/>
      <c r="ODW2" s="14"/>
      <c r="ODX2" s="14"/>
      <c r="ODY2" s="14"/>
      <c r="ODZ2" s="14"/>
      <c r="OEA2" s="14"/>
      <c r="OEB2" s="14"/>
      <c r="OEC2" s="14"/>
      <c r="OED2" s="14"/>
      <c r="OEE2" s="14"/>
      <c r="OEF2" s="14"/>
      <c r="OEG2" s="14"/>
      <c r="OEH2" s="14"/>
      <c r="OEI2" s="14"/>
      <c r="OEJ2" s="14"/>
      <c r="OEK2" s="14"/>
      <c r="OEL2" s="14"/>
      <c r="OEM2" s="14"/>
      <c r="OEN2" s="14"/>
      <c r="OEO2" s="14"/>
      <c r="OEP2" s="14"/>
      <c r="OEQ2" s="14"/>
      <c r="OER2" s="14"/>
      <c r="OES2" s="14"/>
      <c r="OET2" s="14"/>
      <c r="OEU2" s="14"/>
      <c r="OEV2" s="14"/>
      <c r="OEW2" s="14"/>
      <c r="OEX2" s="14"/>
      <c r="OEY2" s="14"/>
      <c r="OEZ2" s="14"/>
      <c r="OFA2" s="14"/>
      <c r="OFB2" s="14"/>
      <c r="OFC2" s="14"/>
      <c r="OFD2" s="14"/>
      <c r="OFE2" s="14"/>
      <c r="OFF2" s="14"/>
      <c r="OFG2" s="14"/>
      <c r="OFH2" s="14"/>
      <c r="OFI2" s="14"/>
      <c r="OFJ2" s="14"/>
      <c r="OFK2" s="14"/>
      <c r="OFL2" s="14"/>
      <c r="OFM2" s="14"/>
      <c r="OFN2" s="14"/>
      <c r="OFO2" s="14"/>
      <c r="OFP2" s="14"/>
      <c r="OFQ2" s="14"/>
      <c r="OFR2" s="14"/>
      <c r="OFS2" s="14"/>
      <c r="OFT2" s="14"/>
      <c r="OFU2" s="14"/>
      <c r="OFV2" s="14"/>
      <c r="OFW2" s="14"/>
      <c r="OFX2" s="14"/>
      <c r="OFY2" s="14"/>
      <c r="OFZ2" s="14"/>
      <c r="OGA2" s="14"/>
      <c r="OGB2" s="14"/>
      <c r="OGC2" s="14"/>
      <c r="OGD2" s="14"/>
      <c r="OGE2" s="14"/>
      <c r="OGF2" s="14"/>
      <c r="OGG2" s="14"/>
      <c r="OGH2" s="14"/>
      <c r="OGI2" s="14"/>
      <c r="OGJ2" s="14"/>
      <c r="OGK2" s="14"/>
      <c r="OGL2" s="14"/>
      <c r="OGM2" s="14"/>
      <c r="OGN2" s="14"/>
      <c r="OGO2" s="14"/>
      <c r="OGP2" s="14"/>
      <c r="OGQ2" s="14"/>
      <c r="OGR2" s="14"/>
      <c r="OGS2" s="14"/>
      <c r="OGT2" s="14"/>
      <c r="OGU2" s="14"/>
      <c r="OGV2" s="14"/>
      <c r="OGW2" s="14"/>
      <c r="OGX2" s="14"/>
      <c r="OGY2" s="14"/>
      <c r="OGZ2" s="14"/>
      <c r="OHA2" s="14"/>
      <c r="OHB2" s="14"/>
      <c r="OHC2" s="14"/>
      <c r="OHD2" s="14"/>
      <c r="OHE2" s="14"/>
      <c r="OHF2" s="14"/>
      <c r="OHG2" s="14"/>
      <c r="OHH2" s="14"/>
      <c r="OHI2" s="14"/>
      <c r="OHJ2" s="14"/>
      <c r="OHK2" s="14"/>
      <c r="OHL2" s="14"/>
      <c r="OHM2" s="14"/>
      <c r="OHN2" s="14"/>
      <c r="OHO2" s="14"/>
      <c r="OHP2" s="14"/>
      <c r="OHQ2" s="14"/>
      <c r="OHR2" s="14"/>
      <c r="OHS2" s="14"/>
      <c r="OHT2" s="14"/>
      <c r="OHU2" s="14"/>
      <c r="OHV2" s="14"/>
      <c r="OHW2" s="14"/>
      <c r="OHX2" s="14"/>
      <c r="OHY2" s="14"/>
      <c r="OHZ2" s="14"/>
      <c r="OIA2" s="14"/>
      <c r="OIB2" s="14"/>
      <c r="OIC2" s="14"/>
      <c r="OID2" s="14"/>
      <c r="OIE2" s="14"/>
      <c r="OIF2" s="14"/>
      <c r="OIG2" s="14"/>
      <c r="OIH2" s="14"/>
      <c r="OII2" s="14"/>
      <c r="OIJ2" s="14"/>
      <c r="OIK2" s="14"/>
      <c r="OIL2" s="14"/>
      <c r="OIM2" s="14"/>
      <c r="OIN2" s="14"/>
      <c r="OIO2" s="14"/>
      <c r="OIP2" s="14"/>
      <c r="OIQ2" s="14"/>
      <c r="OIR2" s="14"/>
      <c r="OIS2" s="14"/>
      <c r="OIT2" s="14"/>
      <c r="OIU2" s="14"/>
      <c r="OIV2" s="14"/>
      <c r="OIW2" s="14"/>
      <c r="OIX2" s="14"/>
      <c r="OIY2" s="14"/>
      <c r="OIZ2" s="14"/>
      <c r="OJA2" s="14"/>
      <c r="OJB2" s="14"/>
      <c r="OJC2" s="14"/>
      <c r="OJD2" s="14"/>
      <c r="OJE2" s="14"/>
      <c r="OJF2" s="14"/>
      <c r="OJG2" s="14"/>
      <c r="OJH2" s="14"/>
      <c r="OJI2" s="14"/>
      <c r="OJJ2" s="14"/>
      <c r="OJK2" s="14"/>
      <c r="OJL2" s="14"/>
      <c r="OJM2" s="14"/>
      <c r="OJN2" s="14"/>
      <c r="OJO2" s="14"/>
      <c r="OJP2" s="14"/>
      <c r="OJQ2" s="14"/>
      <c r="OJR2" s="14"/>
      <c r="OJS2" s="14"/>
      <c r="OJT2" s="14"/>
      <c r="OJU2" s="14"/>
      <c r="OJV2" s="14"/>
      <c r="OJW2" s="14"/>
      <c r="OJX2" s="14"/>
      <c r="OJY2" s="14"/>
      <c r="OJZ2" s="14"/>
      <c r="OKA2" s="14"/>
      <c r="OKB2" s="14"/>
      <c r="OKC2" s="14"/>
      <c r="OKD2" s="14"/>
      <c r="OKE2" s="14"/>
      <c r="OKF2" s="14"/>
      <c r="OKG2" s="14"/>
      <c r="OKH2" s="14"/>
      <c r="OKI2" s="14"/>
      <c r="OKJ2" s="14"/>
      <c r="OKK2" s="14"/>
      <c r="OKL2" s="14"/>
      <c r="OKM2" s="14"/>
      <c r="OKN2" s="14"/>
      <c r="OKO2" s="14"/>
      <c r="OKP2" s="14"/>
      <c r="OKQ2" s="14"/>
      <c r="OKR2" s="14"/>
      <c r="OKS2" s="14"/>
      <c r="OKT2" s="14"/>
      <c r="OKU2" s="14"/>
      <c r="OKV2" s="14"/>
      <c r="OKW2" s="14"/>
      <c r="OKX2" s="14"/>
      <c r="OKY2" s="14"/>
      <c r="OKZ2" s="14"/>
      <c r="OLA2" s="14"/>
      <c r="OLB2" s="14"/>
      <c r="OLC2" s="14"/>
      <c r="OLD2" s="14"/>
      <c r="OLE2" s="14"/>
      <c r="OLF2" s="14"/>
      <c r="OLG2" s="14"/>
      <c r="OLH2" s="14"/>
      <c r="OLI2" s="14"/>
      <c r="OLJ2" s="14"/>
      <c r="OLK2" s="14"/>
      <c r="OLL2" s="14"/>
      <c r="OLM2" s="14"/>
      <c r="OLN2" s="14"/>
      <c r="OLO2" s="14"/>
      <c r="OLP2" s="14"/>
      <c r="OLQ2" s="14"/>
      <c r="OLR2" s="14"/>
      <c r="OLS2" s="14"/>
      <c r="OLT2" s="14"/>
      <c r="OLU2" s="14"/>
      <c r="OLV2" s="14"/>
      <c r="OLW2" s="14"/>
      <c r="OLX2" s="14"/>
      <c r="OLY2" s="14"/>
      <c r="OLZ2" s="14"/>
      <c r="OMA2" s="14"/>
      <c r="OMB2" s="14"/>
      <c r="OMC2" s="14"/>
      <c r="OMD2" s="14"/>
      <c r="OME2" s="14"/>
      <c r="OMF2" s="14"/>
      <c r="OMG2" s="14"/>
      <c r="OMH2" s="14"/>
      <c r="OMI2" s="14"/>
      <c r="OMJ2" s="14"/>
      <c r="OMK2" s="14"/>
      <c r="OML2" s="14"/>
      <c r="OMM2" s="14"/>
      <c r="OMN2" s="14"/>
      <c r="OMO2" s="14"/>
      <c r="OMP2" s="14"/>
      <c r="OMQ2" s="14"/>
      <c r="OMR2" s="14"/>
      <c r="OMS2" s="14"/>
      <c r="OMT2" s="14"/>
      <c r="OMU2" s="14"/>
      <c r="OMV2" s="14"/>
      <c r="OMW2" s="14"/>
      <c r="OMX2" s="14"/>
      <c r="OMY2" s="14"/>
      <c r="OMZ2" s="14"/>
      <c r="ONA2" s="14"/>
      <c r="ONB2" s="14"/>
      <c r="ONC2" s="14"/>
      <c r="OND2" s="14"/>
      <c r="ONE2" s="14"/>
      <c r="ONF2" s="14"/>
      <c r="ONG2" s="14"/>
      <c r="ONH2" s="14"/>
      <c r="ONI2" s="14"/>
      <c r="ONJ2" s="14"/>
      <c r="ONK2" s="14"/>
      <c r="ONL2" s="14"/>
      <c r="ONM2" s="14"/>
      <c r="ONN2" s="14"/>
      <c r="ONO2" s="14"/>
      <c r="ONP2" s="14"/>
      <c r="ONQ2" s="14"/>
      <c r="ONR2" s="14"/>
      <c r="ONS2" s="14"/>
      <c r="ONT2" s="14"/>
      <c r="ONU2" s="14"/>
      <c r="ONV2" s="14"/>
      <c r="ONW2" s="14"/>
      <c r="ONX2" s="14"/>
      <c r="ONY2" s="14"/>
      <c r="ONZ2" s="14"/>
      <c r="OOA2" s="14"/>
      <c r="OOB2" s="14"/>
      <c r="OOC2" s="14"/>
      <c r="OOD2" s="14"/>
      <c r="OOE2" s="14"/>
      <c r="OOF2" s="14"/>
      <c r="OOG2" s="14"/>
      <c r="OOH2" s="14"/>
      <c r="OOI2" s="14"/>
      <c r="OOJ2" s="14"/>
      <c r="OOK2" s="14"/>
      <c r="OOL2" s="14"/>
      <c r="OOM2" s="14"/>
      <c r="OON2" s="14"/>
      <c r="OOO2" s="14"/>
      <c r="OOP2" s="14"/>
      <c r="OOQ2" s="14"/>
      <c r="OOR2" s="14"/>
      <c r="OOS2" s="14"/>
      <c r="OOT2" s="14"/>
      <c r="OOU2" s="14"/>
      <c r="OOV2" s="14"/>
      <c r="OOW2" s="14"/>
      <c r="OOX2" s="14"/>
      <c r="OOY2" s="14"/>
      <c r="OOZ2" s="14"/>
      <c r="OPA2" s="14"/>
      <c r="OPB2" s="14"/>
      <c r="OPC2" s="14"/>
      <c r="OPD2" s="14"/>
      <c r="OPE2" s="14"/>
      <c r="OPF2" s="14"/>
      <c r="OPG2" s="14"/>
      <c r="OPH2" s="14"/>
      <c r="OPI2" s="14"/>
      <c r="OPJ2" s="14"/>
      <c r="OPK2" s="14"/>
      <c r="OPL2" s="14"/>
      <c r="OPM2" s="14"/>
      <c r="OPN2" s="14"/>
      <c r="OPO2" s="14"/>
      <c r="OPP2" s="14"/>
      <c r="OPQ2" s="14"/>
      <c r="OPR2" s="14"/>
      <c r="OPS2" s="14"/>
      <c r="OPT2" s="14"/>
      <c r="OPU2" s="14"/>
      <c r="OPV2" s="14"/>
      <c r="OPW2" s="14"/>
      <c r="OPX2" s="14"/>
      <c r="OPY2" s="14"/>
      <c r="OPZ2" s="14"/>
      <c r="OQA2" s="14"/>
      <c r="OQB2" s="14"/>
      <c r="OQC2" s="14"/>
      <c r="OQD2" s="14"/>
      <c r="OQE2" s="14"/>
      <c r="OQF2" s="14"/>
      <c r="OQG2" s="14"/>
      <c r="OQH2" s="14"/>
      <c r="OQI2" s="14"/>
      <c r="OQJ2" s="14"/>
      <c r="OQK2" s="14"/>
      <c r="OQL2" s="14"/>
      <c r="OQM2" s="14"/>
      <c r="OQN2" s="14"/>
      <c r="OQO2" s="14"/>
      <c r="OQP2" s="14"/>
      <c r="OQQ2" s="14"/>
      <c r="OQR2" s="14"/>
      <c r="OQS2" s="14"/>
      <c r="OQT2" s="14"/>
      <c r="OQU2" s="14"/>
      <c r="OQV2" s="14"/>
      <c r="OQW2" s="14"/>
      <c r="OQX2" s="14"/>
      <c r="OQY2" s="14"/>
      <c r="OQZ2" s="14"/>
      <c r="ORA2" s="14"/>
      <c r="ORB2" s="14"/>
      <c r="ORC2" s="14"/>
      <c r="ORD2" s="14"/>
      <c r="ORE2" s="14"/>
      <c r="ORF2" s="14"/>
      <c r="ORG2" s="14"/>
      <c r="ORH2" s="14"/>
      <c r="ORI2" s="14"/>
      <c r="ORJ2" s="14"/>
      <c r="ORK2" s="14"/>
      <c r="ORL2" s="14"/>
      <c r="ORM2" s="14"/>
      <c r="ORN2" s="14"/>
      <c r="ORO2" s="14"/>
      <c r="ORP2" s="14"/>
      <c r="ORQ2" s="14"/>
      <c r="ORR2" s="14"/>
      <c r="ORS2" s="14"/>
      <c r="ORT2" s="14"/>
      <c r="ORU2" s="14"/>
      <c r="ORV2" s="14"/>
      <c r="ORW2" s="14"/>
      <c r="ORX2" s="14"/>
      <c r="ORY2" s="14"/>
      <c r="ORZ2" s="14"/>
      <c r="OSA2" s="14"/>
      <c r="OSB2" s="14"/>
      <c r="OSC2" s="14"/>
      <c r="OSD2" s="14"/>
      <c r="OSE2" s="14"/>
      <c r="OSF2" s="14"/>
      <c r="OSG2" s="14"/>
      <c r="OSH2" s="14"/>
      <c r="OSI2" s="14"/>
      <c r="OSJ2" s="14"/>
      <c r="OSK2" s="14"/>
      <c r="OSL2" s="14"/>
      <c r="OSM2" s="14"/>
      <c r="OSN2" s="14"/>
      <c r="OSO2" s="14"/>
      <c r="OSP2" s="14"/>
      <c r="OSQ2" s="14"/>
      <c r="OSR2" s="14"/>
      <c r="OSS2" s="14"/>
      <c r="OST2" s="14"/>
      <c r="OSU2" s="14"/>
      <c r="OSV2" s="14"/>
      <c r="OSW2" s="14"/>
      <c r="OSX2" s="14"/>
      <c r="OSY2" s="14"/>
      <c r="OSZ2" s="14"/>
      <c r="OTA2" s="14"/>
      <c r="OTB2" s="14"/>
      <c r="OTC2" s="14"/>
      <c r="OTD2" s="14"/>
      <c r="OTE2" s="14"/>
      <c r="OTF2" s="14"/>
      <c r="OTG2" s="14"/>
      <c r="OTH2" s="14"/>
      <c r="OTI2" s="14"/>
      <c r="OTJ2" s="14"/>
      <c r="OTK2" s="14"/>
      <c r="OTL2" s="14"/>
      <c r="OTM2" s="14"/>
      <c r="OTN2" s="14"/>
      <c r="OTO2" s="14"/>
      <c r="OTP2" s="14"/>
      <c r="OTQ2" s="14"/>
      <c r="OTR2" s="14"/>
      <c r="OTS2" s="14"/>
      <c r="OTT2" s="14"/>
      <c r="OTU2" s="14"/>
      <c r="OTV2" s="14"/>
      <c r="OTW2" s="14"/>
      <c r="OTX2" s="14"/>
      <c r="OTY2" s="14"/>
      <c r="OTZ2" s="14"/>
      <c r="OUA2" s="14"/>
      <c r="OUB2" s="14"/>
      <c r="OUC2" s="14"/>
      <c r="OUD2" s="14"/>
      <c r="OUE2" s="14"/>
      <c r="OUF2" s="14"/>
      <c r="OUG2" s="14"/>
      <c r="OUH2" s="14"/>
      <c r="OUI2" s="14"/>
      <c r="OUJ2" s="14"/>
      <c r="OUK2" s="14"/>
      <c r="OUL2" s="14"/>
      <c r="OUM2" s="14"/>
      <c r="OUN2" s="14"/>
      <c r="OUO2" s="14"/>
      <c r="OUP2" s="14"/>
      <c r="OUQ2" s="14"/>
      <c r="OUR2" s="14"/>
      <c r="OUS2" s="14"/>
      <c r="OUT2" s="14"/>
      <c r="OUU2" s="14"/>
      <c r="OUV2" s="14"/>
      <c r="OUW2" s="14"/>
      <c r="OUX2" s="14"/>
      <c r="OUY2" s="14"/>
      <c r="OUZ2" s="14"/>
      <c r="OVA2" s="14"/>
      <c r="OVB2" s="14"/>
      <c r="OVC2" s="14"/>
      <c r="OVD2" s="14"/>
      <c r="OVE2" s="14"/>
      <c r="OVF2" s="14"/>
      <c r="OVG2" s="14"/>
      <c r="OVH2" s="14"/>
      <c r="OVI2" s="14"/>
      <c r="OVJ2" s="14"/>
      <c r="OVK2" s="14"/>
      <c r="OVL2" s="14"/>
      <c r="OVM2" s="14"/>
      <c r="OVN2" s="14"/>
      <c r="OVO2" s="14"/>
      <c r="OVP2" s="14"/>
      <c r="OVQ2" s="14"/>
      <c r="OVR2" s="14"/>
      <c r="OVS2" s="14"/>
      <c r="OVT2" s="14"/>
      <c r="OVU2" s="14"/>
      <c r="OVV2" s="14"/>
      <c r="OVW2" s="14"/>
      <c r="OVX2" s="14"/>
      <c r="OVY2" s="14"/>
      <c r="OVZ2" s="14"/>
      <c r="OWA2" s="14"/>
      <c r="OWB2" s="14"/>
      <c r="OWC2" s="14"/>
      <c r="OWD2" s="14"/>
      <c r="OWE2" s="14"/>
      <c r="OWF2" s="14"/>
      <c r="OWG2" s="14"/>
      <c r="OWH2" s="14"/>
      <c r="OWI2" s="14"/>
      <c r="OWJ2" s="14"/>
      <c r="OWK2" s="14"/>
      <c r="OWL2" s="14"/>
      <c r="OWM2" s="14"/>
      <c r="OWN2" s="14"/>
      <c r="OWO2" s="14"/>
      <c r="OWP2" s="14"/>
      <c r="OWQ2" s="14"/>
      <c r="OWR2" s="14"/>
      <c r="OWS2" s="14"/>
      <c r="OWT2" s="14"/>
      <c r="OWU2" s="14"/>
      <c r="OWV2" s="14"/>
      <c r="OWW2" s="14"/>
      <c r="OWX2" s="14"/>
      <c r="OWY2" s="14"/>
      <c r="OWZ2" s="14"/>
      <c r="OXA2" s="14"/>
      <c r="OXB2" s="14"/>
      <c r="OXC2" s="14"/>
      <c r="OXD2" s="14"/>
      <c r="OXE2" s="14"/>
      <c r="OXF2" s="14"/>
      <c r="OXG2" s="14"/>
      <c r="OXH2" s="14"/>
      <c r="OXI2" s="14"/>
      <c r="OXJ2" s="14"/>
      <c r="OXK2" s="14"/>
      <c r="OXL2" s="14"/>
      <c r="OXM2" s="14"/>
      <c r="OXN2" s="14"/>
      <c r="OXO2" s="14"/>
      <c r="OXP2" s="14"/>
      <c r="OXQ2" s="14"/>
      <c r="OXR2" s="14"/>
      <c r="OXS2" s="14"/>
      <c r="OXT2" s="14"/>
      <c r="OXU2" s="14"/>
      <c r="OXV2" s="14"/>
      <c r="OXW2" s="14"/>
      <c r="OXX2" s="14"/>
      <c r="OXY2" s="14"/>
      <c r="OXZ2" s="14"/>
      <c r="OYA2" s="14"/>
      <c r="OYB2" s="14"/>
      <c r="OYC2" s="14"/>
      <c r="OYD2" s="14"/>
      <c r="OYE2" s="14"/>
      <c r="OYF2" s="14"/>
      <c r="OYG2" s="14"/>
      <c r="OYH2" s="14"/>
      <c r="OYI2" s="14"/>
      <c r="OYJ2" s="14"/>
      <c r="OYK2" s="14"/>
      <c r="OYL2" s="14"/>
      <c r="OYM2" s="14"/>
      <c r="OYN2" s="14"/>
      <c r="OYO2" s="14"/>
      <c r="OYP2" s="14"/>
      <c r="OYQ2" s="14"/>
      <c r="OYR2" s="14"/>
      <c r="OYS2" s="14"/>
      <c r="OYT2" s="14"/>
      <c r="OYU2" s="14"/>
      <c r="OYV2" s="14"/>
      <c r="OYW2" s="14"/>
      <c r="OYX2" s="14"/>
      <c r="OYY2" s="14"/>
      <c r="OYZ2" s="14"/>
      <c r="OZA2" s="14"/>
      <c r="OZB2" s="14"/>
      <c r="OZC2" s="14"/>
      <c r="OZD2" s="14"/>
      <c r="OZE2" s="14"/>
      <c r="OZF2" s="14"/>
      <c r="OZG2" s="14"/>
      <c r="OZH2" s="14"/>
      <c r="OZI2" s="14"/>
      <c r="OZJ2" s="14"/>
      <c r="OZK2" s="14"/>
      <c r="OZL2" s="14"/>
      <c r="OZM2" s="14"/>
      <c r="OZN2" s="14"/>
      <c r="OZO2" s="14"/>
      <c r="OZP2" s="14"/>
      <c r="OZQ2" s="14"/>
      <c r="OZR2" s="14"/>
      <c r="OZS2" s="14"/>
      <c r="OZT2" s="14"/>
      <c r="OZU2" s="14"/>
      <c r="OZV2" s="14"/>
      <c r="OZW2" s="14"/>
      <c r="OZX2" s="14"/>
      <c r="OZY2" s="14"/>
      <c r="OZZ2" s="14"/>
      <c r="PAA2" s="14"/>
      <c r="PAB2" s="14"/>
      <c r="PAC2" s="14"/>
      <c r="PAD2" s="14"/>
      <c r="PAE2" s="14"/>
      <c r="PAF2" s="14"/>
      <c r="PAG2" s="14"/>
      <c r="PAH2" s="14"/>
      <c r="PAI2" s="14"/>
      <c r="PAJ2" s="14"/>
      <c r="PAK2" s="14"/>
      <c r="PAL2" s="14"/>
      <c r="PAM2" s="14"/>
      <c r="PAN2" s="14"/>
      <c r="PAO2" s="14"/>
      <c r="PAP2" s="14"/>
      <c r="PAQ2" s="14"/>
      <c r="PAR2" s="14"/>
      <c r="PAS2" s="14"/>
      <c r="PAT2" s="14"/>
      <c r="PAU2" s="14"/>
      <c r="PAV2" s="14"/>
      <c r="PAW2" s="14"/>
      <c r="PAX2" s="14"/>
      <c r="PAY2" s="14"/>
      <c r="PAZ2" s="14"/>
      <c r="PBA2" s="14"/>
      <c r="PBB2" s="14"/>
      <c r="PBC2" s="14"/>
      <c r="PBD2" s="14"/>
      <c r="PBE2" s="14"/>
      <c r="PBF2" s="14"/>
      <c r="PBG2" s="14"/>
      <c r="PBH2" s="14"/>
      <c r="PBI2" s="14"/>
      <c r="PBJ2" s="14"/>
      <c r="PBK2" s="14"/>
      <c r="PBL2" s="14"/>
      <c r="PBM2" s="14"/>
      <c r="PBN2" s="14"/>
      <c r="PBO2" s="14"/>
      <c r="PBP2" s="14"/>
      <c r="PBQ2" s="14"/>
      <c r="PBR2" s="14"/>
      <c r="PBS2" s="14"/>
      <c r="PBT2" s="14"/>
      <c r="PBU2" s="14"/>
      <c r="PBV2" s="14"/>
      <c r="PBW2" s="14"/>
      <c r="PBX2" s="14"/>
      <c r="PBY2" s="14"/>
      <c r="PBZ2" s="14"/>
      <c r="PCA2" s="14"/>
      <c r="PCB2" s="14"/>
      <c r="PCC2" s="14"/>
      <c r="PCD2" s="14"/>
      <c r="PCE2" s="14"/>
      <c r="PCF2" s="14"/>
      <c r="PCG2" s="14"/>
      <c r="PCH2" s="14"/>
      <c r="PCI2" s="14"/>
      <c r="PCJ2" s="14"/>
      <c r="PCK2" s="14"/>
      <c r="PCL2" s="14"/>
      <c r="PCM2" s="14"/>
      <c r="PCN2" s="14"/>
      <c r="PCO2" s="14"/>
      <c r="PCP2" s="14"/>
      <c r="PCQ2" s="14"/>
      <c r="PCR2" s="14"/>
      <c r="PCS2" s="14"/>
      <c r="PCT2" s="14"/>
      <c r="PCU2" s="14"/>
      <c r="PCV2" s="14"/>
      <c r="PCW2" s="14"/>
      <c r="PCX2" s="14"/>
      <c r="PCY2" s="14"/>
      <c r="PCZ2" s="14"/>
      <c r="PDA2" s="14"/>
      <c r="PDB2" s="14"/>
      <c r="PDC2" s="14"/>
      <c r="PDD2" s="14"/>
      <c r="PDE2" s="14"/>
      <c r="PDF2" s="14"/>
      <c r="PDG2" s="14"/>
      <c r="PDH2" s="14"/>
      <c r="PDI2" s="14"/>
      <c r="PDJ2" s="14"/>
      <c r="PDK2" s="14"/>
      <c r="PDL2" s="14"/>
      <c r="PDM2" s="14"/>
      <c r="PDN2" s="14"/>
      <c r="PDO2" s="14"/>
      <c r="PDP2" s="14"/>
      <c r="PDQ2" s="14"/>
      <c r="PDR2" s="14"/>
      <c r="PDS2" s="14"/>
      <c r="PDT2" s="14"/>
      <c r="PDU2" s="14"/>
      <c r="PDV2" s="14"/>
      <c r="PDW2" s="14"/>
      <c r="PDX2" s="14"/>
      <c r="PDY2" s="14"/>
      <c r="PDZ2" s="14"/>
      <c r="PEA2" s="14"/>
      <c r="PEB2" s="14"/>
      <c r="PEC2" s="14"/>
      <c r="PED2" s="14"/>
      <c r="PEE2" s="14"/>
      <c r="PEF2" s="14"/>
      <c r="PEG2" s="14"/>
      <c r="PEH2" s="14"/>
      <c r="PEI2" s="14"/>
      <c r="PEJ2" s="14"/>
      <c r="PEK2" s="14"/>
      <c r="PEL2" s="14"/>
      <c r="PEM2" s="14"/>
      <c r="PEN2" s="14"/>
      <c r="PEO2" s="14"/>
      <c r="PEP2" s="14"/>
      <c r="PEQ2" s="14"/>
      <c r="PER2" s="14"/>
      <c r="PES2" s="14"/>
      <c r="PET2" s="14"/>
      <c r="PEU2" s="14"/>
      <c r="PEV2" s="14"/>
      <c r="PEW2" s="14"/>
      <c r="PEX2" s="14"/>
      <c r="PEY2" s="14"/>
      <c r="PEZ2" s="14"/>
      <c r="PFA2" s="14"/>
      <c r="PFB2" s="14"/>
      <c r="PFC2" s="14"/>
      <c r="PFD2" s="14"/>
      <c r="PFE2" s="14"/>
      <c r="PFF2" s="14"/>
      <c r="PFG2" s="14"/>
      <c r="PFH2" s="14"/>
      <c r="PFI2" s="14"/>
      <c r="PFJ2" s="14"/>
      <c r="PFK2" s="14"/>
      <c r="PFL2" s="14"/>
      <c r="PFM2" s="14"/>
      <c r="PFN2" s="14"/>
      <c r="PFO2" s="14"/>
      <c r="PFP2" s="14"/>
      <c r="PFQ2" s="14"/>
      <c r="PFR2" s="14"/>
      <c r="PFS2" s="14"/>
      <c r="PFT2" s="14"/>
      <c r="PFU2" s="14"/>
      <c r="PFV2" s="14"/>
      <c r="PFW2" s="14"/>
      <c r="PFX2" s="14"/>
      <c r="PFY2" s="14"/>
      <c r="PFZ2" s="14"/>
      <c r="PGA2" s="14"/>
      <c r="PGB2" s="14"/>
      <c r="PGC2" s="14"/>
      <c r="PGD2" s="14"/>
      <c r="PGE2" s="14"/>
      <c r="PGF2" s="14"/>
      <c r="PGG2" s="14"/>
      <c r="PGH2" s="14"/>
      <c r="PGI2" s="14"/>
      <c r="PGJ2" s="14"/>
      <c r="PGK2" s="14"/>
      <c r="PGL2" s="14"/>
      <c r="PGM2" s="14"/>
      <c r="PGN2" s="14"/>
      <c r="PGO2" s="14"/>
      <c r="PGP2" s="14"/>
      <c r="PGQ2" s="14"/>
      <c r="PGR2" s="14"/>
      <c r="PGS2" s="14"/>
      <c r="PGT2" s="14"/>
      <c r="PGU2" s="14"/>
      <c r="PGV2" s="14"/>
      <c r="PGW2" s="14"/>
      <c r="PGX2" s="14"/>
      <c r="PGY2" s="14"/>
      <c r="PGZ2" s="14"/>
      <c r="PHA2" s="14"/>
      <c r="PHB2" s="14"/>
      <c r="PHC2" s="14"/>
      <c r="PHD2" s="14"/>
      <c r="PHE2" s="14"/>
      <c r="PHF2" s="14"/>
      <c r="PHG2" s="14"/>
      <c r="PHH2" s="14"/>
      <c r="PHI2" s="14"/>
      <c r="PHJ2" s="14"/>
      <c r="PHK2" s="14"/>
      <c r="PHL2" s="14"/>
      <c r="PHM2" s="14"/>
      <c r="PHN2" s="14"/>
      <c r="PHO2" s="14"/>
      <c r="PHP2" s="14"/>
      <c r="PHQ2" s="14"/>
      <c r="PHR2" s="14"/>
      <c r="PHS2" s="14"/>
      <c r="PHT2" s="14"/>
      <c r="PHU2" s="14"/>
      <c r="PHV2" s="14"/>
      <c r="PHW2" s="14"/>
      <c r="PHX2" s="14"/>
      <c r="PHY2" s="14"/>
      <c r="PHZ2" s="14"/>
      <c r="PIA2" s="14"/>
      <c r="PIB2" s="14"/>
      <c r="PIC2" s="14"/>
      <c r="PID2" s="14"/>
      <c r="PIE2" s="14"/>
      <c r="PIF2" s="14"/>
      <c r="PIG2" s="14"/>
      <c r="PIH2" s="14"/>
      <c r="PII2" s="14"/>
      <c r="PIJ2" s="14"/>
      <c r="PIK2" s="14"/>
      <c r="PIL2" s="14"/>
      <c r="PIM2" s="14"/>
      <c r="PIN2" s="14"/>
      <c r="PIO2" s="14"/>
      <c r="PIP2" s="14"/>
      <c r="PIQ2" s="14"/>
      <c r="PIR2" s="14"/>
      <c r="PIS2" s="14"/>
      <c r="PIT2" s="14"/>
      <c r="PIU2" s="14"/>
      <c r="PIV2" s="14"/>
      <c r="PIW2" s="14"/>
      <c r="PIX2" s="14"/>
      <c r="PIY2" s="14"/>
      <c r="PIZ2" s="14"/>
      <c r="PJA2" s="14"/>
      <c r="PJB2" s="14"/>
      <c r="PJC2" s="14"/>
      <c r="PJD2" s="14"/>
      <c r="PJE2" s="14"/>
      <c r="PJF2" s="14"/>
      <c r="PJG2" s="14"/>
      <c r="PJH2" s="14"/>
      <c r="PJI2" s="14"/>
      <c r="PJJ2" s="14"/>
      <c r="PJK2" s="14"/>
      <c r="PJL2" s="14"/>
      <c r="PJM2" s="14"/>
      <c r="PJN2" s="14"/>
      <c r="PJO2" s="14"/>
      <c r="PJP2" s="14"/>
      <c r="PJQ2" s="14"/>
      <c r="PJR2" s="14"/>
      <c r="PJS2" s="14"/>
      <c r="PJT2" s="14"/>
      <c r="PJU2" s="14"/>
      <c r="PJV2" s="14"/>
      <c r="PJW2" s="14"/>
      <c r="PJX2" s="14"/>
      <c r="PJY2" s="14"/>
      <c r="PJZ2" s="14"/>
      <c r="PKA2" s="14"/>
      <c r="PKB2" s="14"/>
      <c r="PKC2" s="14"/>
      <c r="PKD2" s="14"/>
      <c r="PKE2" s="14"/>
      <c r="PKF2" s="14"/>
      <c r="PKG2" s="14"/>
      <c r="PKH2" s="14"/>
      <c r="PKI2" s="14"/>
      <c r="PKJ2" s="14"/>
      <c r="PKK2" s="14"/>
      <c r="PKL2" s="14"/>
      <c r="PKM2" s="14"/>
      <c r="PKN2" s="14"/>
      <c r="PKO2" s="14"/>
      <c r="PKP2" s="14"/>
      <c r="PKQ2" s="14"/>
      <c r="PKR2" s="14"/>
      <c r="PKS2" s="14"/>
      <c r="PKT2" s="14"/>
      <c r="PKU2" s="14"/>
      <c r="PKV2" s="14"/>
      <c r="PKW2" s="14"/>
      <c r="PKX2" s="14"/>
      <c r="PKY2" s="14"/>
      <c r="PKZ2" s="14"/>
      <c r="PLA2" s="14"/>
      <c r="PLB2" s="14"/>
      <c r="PLC2" s="14"/>
      <c r="PLD2" s="14"/>
      <c r="PLE2" s="14"/>
      <c r="PLF2" s="14"/>
      <c r="PLG2" s="14"/>
      <c r="PLH2" s="14"/>
      <c r="PLI2" s="14"/>
      <c r="PLJ2" s="14"/>
      <c r="PLK2" s="14"/>
      <c r="PLL2" s="14"/>
      <c r="PLM2" s="14"/>
      <c r="PLN2" s="14"/>
      <c r="PLO2" s="14"/>
      <c r="PLP2" s="14"/>
      <c r="PLQ2" s="14"/>
      <c r="PLR2" s="14"/>
      <c r="PLS2" s="14"/>
      <c r="PLT2" s="14"/>
      <c r="PLU2" s="14"/>
      <c r="PLV2" s="14"/>
      <c r="PLW2" s="14"/>
      <c r="PLX2" s="14"/>
      <c r="PLY2" s="14"/>
      <c r="PLZ2" s="14"/>
      <c r="PMA2" s="14"/>
      <c r="PMB2" s="14"/>
      <c r="PMC2" s="14"/>
      <c r="PMD2" s="14"/>
      <c r="PME2" s="14"/>
      <c r="PMF2" s="14"/>
      <c r="PMG2" s="14"/>
      <c r="PMH2" s="14"/>
      <c r="PMI2" s="14"/>
      <c r="PMJ2" s="14"/>
      <c r="PMK2" s="14"/>
      <c r="PML2" s="14"/>
      <c r="PMM2" s="14"/>
      <c r="PMN2" s="14"/>
      <c r="PMO2" s="14"/>
      <c r="PMP2" s="14"/>
      <c r="PMQ2" s="14"/>
      <c r="PMR2" s="14"/>
      <c r="PMS2" s="14"/>
      <c r="PMT2" s="14"/>
      <c r="PMU2" s="14"/>
      <c r="PMV2" s="14"/>
      <c r="PMW2" s="14"/>
      <c r="PMX2" s="14"/>
      <c r="PMY2" s="14"/>
      <c r="PMZ2" s="14"/>
      <c r="PNA2" s="14"/>
      <c r="PNB2" s="14"/>
      <c r="PNC2" s="14"/>
      <c r="PND2" s="14"/>
      <c r="PNE2" s="14"/>
      <c r="PNF2" s="14"/>
      <c r="PNG2" s="14"/>
      <c r="PNH2" s="14"/>
      <c r="PNI2" s="14"/>
      <c r="PNJ2" s="14"/>
      <c r="PNK2" s="14"/>
      <c r="PNL2" s="14"/>
      <c r="PNM2" s="14"/>
      <c r="PNN2" s="14"/>
      <c r="PNO2" s="14"/>
      <c r="PNP2" s="14"/>
      <c r="PNQ2" s="14"/>
      <c r="PNR2" s="14"/>
      <c r="PNS2" s="14"/>
      <c r="PNT2" s="14"/>
      <c r="PNU2" s="14"/>
      <c r="PNV2" s="14"/>
      <c r="PNW2" s="14"/>
      <c r="PNX2" s="14"/>
      <c r="PNY2" s="14"/>
      <c r="PNZ2" s="14"/>
      <c r="POA2" s="14"/>
      <c r="POB2" s="14"/>
      <c r="POC2" s="14"/>
      <c r="POD2" s="14"/>
      <c r="POE2" s="14"/>
      <c r="POF2" s="14"/>
      <c r="POG2" s="14"/>
      <c r="POH2" s="14"/>
      <c r="POI2" s="14"/>
      <c r="POJ2" s="14"/>
      <c r="POK2" s="14"/>
      <c r="POL2" s="14"/>
      <c r="POM2" s="14"/>
      <c r="PON2" s="14"/>
      <c r="POO2" s="14"/>
      <c r="POP2" s="14"/>
      <c r="POQ2" s="14"/>
      <c r="POR2" s="14"/>
      <c r="POS2" s="14"/>
      <c r="POT2" s="14"/>
      <c r="POU2" s="14"/>
      <c r="POV2" s="14"/>
      <c r="POW2" s="14"/>
      <c r="POX2" s="14"/>
      <c r="POY2" s="14"/>
      <c r="POZ2" s="14"/>
      <c r="PPA2" s="14"/>
      <c r="PPB2" s="14"/>
      <c r="PPC2" s="14"/>
      <c r="PPD2" s="14"/>
      <c r="PPE2" s="14"/>
      <c r="PPF2" s="14"/>
      <c r="PPG2" s="14"/>
      <c r="PPH2" s="14"/>
      <c r="PPI2" s="14"/>
      <c r="PPJ2" s="14"/>
      <c r="PPK2" s="14"/>
      <c r="PPL2" s="14"/>
      <c r="PPM2" s="14"/>
      <c r="PPN2" s="14"/>
      <c r="PPO2" s="14"/>
      <c r="PPP2" s="14"/>
      <c r="PPQ2" s="14"/>
      <c r="PPR2" s="14"/>
      <c r="PPS2" s="14"/>
      <c r="PPT2" s="14"/>
      <c r="PPU2" s="14"/>
      <c r="PPV2" s="14"/>
      <c r="PPW2" s="14"/>
      <c r="PPX2" s="14"/>
      <c r="PPY2" s="14"/>
      <c r="PPZ2" s="14"/>
      <c r="PQA2" s="14"/>
      <c r="PQB2" s="14"/>
      <c r="PQC2" s="14"/>
      <c r="PQD2" s="14"/>
      <c r="PQE2" s="14"/>
      <c r="PQF2" s="14"/>
      <c r="PQG2" s="14"/>
      <c r="PQH2" s="14"/>
      <c r="PQI2" s="14"/>
      <c r="PQJ2" s="14"/>
      <c r="PQK2" s="14"/>
      <c r="PQL2" s="14"/>
      <c r="PQM2" s="14"/>
      <c r="PQN2" s="14"/>
      <c r="PQO2" s="14"/>
      <c r="PQP2" s="14"/>
      <c r="PQQ2" s="14"/>
      <c r="PQR2" s="14"/>
      <c r="PQS2" s="14"/>
      <c r="PQT2" s="14"/>
      <c r="PQU2" s="14"/>
      <c r="PQV2" s="14"/>
      <c r="PQW2" s="14"/>
      <c r="PQX2" s="14"/>
      <c r="PQY2" s="14"/>
      <c r="PQZ2" s="14"/>
      <c r="PRA2" s="14"/>
      <c r="PRB2" s="14"/>
      <c r="PRC2" s="14"/>
      <c r="PRD2" s="14"/>
      <c r="PRE2" s="14"/>
      <c r="PRF2" s="14"/>
      <c r="PRG2" s="14"/>
      <c r="PRH2" s="14"/>
      <c r="PRI2" s="14"/>
      <c r="PRJ2" s="14"/>
      <c r="PRK2" s="14"/>
      <c r="PRL2" s="14"/>
      <c r="PRM2" s="14"/>
      <c r="PRN2" s="14"/>
      <c r="PRO2" s="14"/>
      <c r="PRP2" s="14"/>
      <c r="PRQ2" s="14"/>
      <c r="PRR2" s="14"/>
      <c r="PRS2" s="14"/>
      <c r="PRT2" s="14"/>
      <c r="PRU2" s="14"/>
      <c r="PRV2" s="14"/>
      <c r="PRW2" s="14"/>
      <c r="PRX2" s="14"/>
      <c r="PRY2" s="14"/>
      <c r="PRZ2" s="14"/>
      <c r="PSA2" s="14"/>
      <c r="PSB2" s="14"/>
      <c r="PSC2" s="14"/>
      <c r="PSD2" s="14"/>
      <c r="PSE2" s="14"/>
      <c r="PSF2" s="14"/>
      <c r="PSG2" s="14"/>
      <c r="PSH2" s="14"/>
      <c r="PSI2" s="14"/>
      <c r="PSJ2" s="14"/>
      <c r="PSK2" s="14"/>
      <c r="PSL2" s="14"/>
      <c r="PSM2" s="14"/>
      <c r="PSN2" s="14"/>
      <c r="PSO2" s="14"/>
      <c r="PSP2" s="14"/>
      <c r="PSQ2" s="14"/>
      <c r="PSR2" s="14"/>
      <c r="PSS2" s="14"/>
      <c r="PST2" s="14"/>
      <c r="PSU2" s="14"/>
      <c r="PSV2" s="14"/>
      <c r="PSW2" s="14"/>
      <c r="PSX2" s="14"/>
      <c r="PSY2" s="14"/>
      <c r="PSZ2" s="14"/>
      <c r="PTA2" s="14"/>
      <c r="PTB2" s="14"/>
      <c r="PTC2" s="14"/>
      <c r="PTD2" s="14"/>
      <c r="PTE2" s="14"/>
      <c r="PTF2" s="14"/>
      <c r="PTG2" s="14"/>
      <c r="PTH2" s="14"/>
      <c r="PTI2" s="14"/>
      <c r="PTJ2" s="14"/>
      <c r="PTK2" s="14"/>
      <c r="PTL2" s="14"/>
      <c r="PTM2" s="14"/>
      <c r="PTN2" s="14"/>
      <c r="PTO2" s="14"/>
      <c r="PTP2" s="14"/>
      <c r="PTQ2" s="14"/>
      <c r="PTR2" s="14"/>
      <c r="PTS2" s="14"/>
      <c r="PTT2" s="14"/>
      <c r="PTU2" s="14"/>
      <c r="PTV2" s="14"/>
      <c r="PTW2" s="14"/>
      <c r="PTX2" s="14"/>
      <c r="PTY2" s="14"/>
      <c r="PTZ2" s="14"/>
      <c r="PUA2" s="14"/>
      <c r="PUB2" s="14"/>
      <c r="PUC2" s="14"/>
      <c r="PUD2" s="14"/>
      <c r="PUE2" s="14"/>
      <c r="PUF2" s="14"/>
      <c r="PUG2" s="14"/>
      <c r="PUH2" s="14"/>
      <c r="PUI2" s="14"/>
      <c r="PUJ2" s="14"/>
      <c r="PUK2" s="14"/>
      <c r="PUL2" s="14"/>
      <c r="PUM2" s="14"/>
      <c r="PUN2" s="14"/>
      <c r="PUO2" s="14"/>
      <c r="PUP2" s="14"/>
      <c r="PUQ2" s="14"/>
      <c r="PUR2" s="14"/>
      <c r="PUS2" s="14"/>
      <c r="PUT2" s="14"/>
      <c r="PUU2" s="14"/>
      <c r="PUV2" s="14"/>
      <c r="PUW2" s="14"/>
      <c r="PUX2" s="14"/>
      <c r="PUY2" s="14"/>
      <c r="PUZ2" s="14"/>
      <c r="PVA2" s="14"/>
      <c r="PVB2" s="14"/>
      <c r="PVC2" s="14"/>
      <c r="PVD2" s="14"/>
      <c r="PVE2" s="14"/>
      <c r="PVF2" s="14"/>
      <c r="PVG2" s="14"/>
      <c r="PVH2" s="14"/>
      <c r="PVI2" s="14"/>
      <c r="PVJ2" s="14"/>
      <c r="PVK2" s="14"/>
      <c r="PVL2" s="14"/>
      <c r="PVM2" s="14"/>
      <c r="PVN2" s="14"/>
      <c r="PVO2" s="14"/>
      <c r="PVP2" s="14"/>
      <c r="PVQ2" s="14"/>
      <c r="PVR2" s="14"/>
      <c r="PVS2" s="14"/>
      <c r="PVT2" s="14"/>
      <c r="PVU2" s="14"/>
      <c r="PVV2" s="14"/>
      <c r="PVW2" s="14"/>
      <c r="PVX2" s="14"/>
      <c r="PVY2" s="14"/>
      <c r="PVZ2" s="14"/>
      <c r="PWA2" s="14"/>
      <c r="PWB2" s="14"/>
      <c r="PWC2" s="14"/>
      <c r="PWD2" s="14"/>
      <c r="PWE2" s="14"/>
      <c r="PWF2" s="14"/>
      <c r="PWG2" s="14"/>
      <c r="PWH2" s="14"/>
      <c r="PWI2" s="14"/>
      <c r="PWJ2" s="14"/>
      <c r="PWK2" s="14"/>
      <c r="PWL2" s="14"/>
      <c r="PWM2" s="14"/>
      <c r="PWN2" s="14"/>
      <c r="PWO2" s="14"/>
      <c r="PWP2" s="14"/>
      <c r="PWQ2" s="14"/>
      <c r="PWR2" s="14"/>
      <c r="PWS2" s="14"/>
      <c r="PWT2" s="14"/>
      <c r="PWU2" s="14"/>
      <c r="PWV2" s="14"/>
      <c r="PWW2" s="14"/>
      <c r="PWX2" s="14"/>
      <c r="PWY2" s="14"/>
      <c r="PWZ2" s="14"/>
      <c r="PXA2" s="14"/>
      <c r="PXB2" s="14"/>
      <c r="PXC2" s="14"/>
      <c r="PXD2" s="14"/>
      <c r="PXE2" s="14"/>
      <c r="PXF2" s="14"/>
      <c r="PXG2" s="14"/>
      <c r="PXH2" s="14"/>
      <c r="PXI2" s="14"/>
      <c r="PXJ2" s="14"/>
      <c r="PXK2" s="14"/>
      <c r="PXL2" s="14"/>
      <c r="PXM2" s="14"/>
      <c r="PXN2" s="14"/>
      <c r="PXO2" s="14"/>
      <c r="PXP2" s="14"/>
      <c r="PXQ2" s="14"/>
      <c r="PXR2" s="14"/>
      <c r="PXS2" s="14"/>
      <c r="PXT2" s="14"/>
      <c r="PXU2" s="14"/>
      <c r="PXV2" s="14"/>
      <c r="PXW2" s="14"/>
      <c r="PXX2" s="14"/>
      <c r="PXY2" s="14"/>
      <c r="PXZ2" s="14"/>
      <c r="PYA2" s="14"/>
      <c r="PYB2" s="14"/>
      <c r="PYC2" s="14"/>
      <c r="PYD2" s="14"/>
      <c r="PYE2" s="14"/>
      <c r="PYF2" s="14"/>
      <c r="PYG2" s="14"/>
      <c r="PYH2" s="14"/>
      <c r="PYI2" s="14"/>
      <c r="PYJ2" s="14"/>
      <c r="PYK2" s="14"/>
      <c r="PYL2" s="14"/>
      <c r="PYM2" s="14"/>
      <c r="PYN2" s="14"/>
      <c r="PYO2" s="14"/>
      <c r="PYP2" s="14"/>
      <c r="PYQ2" s="14"/>
      <c r="PYR2" s="14"/>
      <c r="PYS2" s="14"/>
      <c r="PYT2" s="14"/>
      <c r="PYU2" s="14"/>
      <c r="PYV2" s="14"/>
      <c r="PYW2" s="14"/>
      <c r="PYX2" s="14"/>
      <c r="PYY2" s="14"/>
      <c r="PYZ2" s="14"/>
      <c r="PZA2" s="14"/>
      <c r="PZB2" s="14"/>
      <c r="PZC2" s="14"/>
      <c r="PZD2" s="14"/>
      <c r="PZE2" s="14"/>
      <c r="PZF2" s="14"/>
      <c r="PZG2" s="14"/>
      <c r="PZH2" s="14"/>
      <c r="PZI2" s="14"/>
      <c r="PZJ2" s="14"/>
      <c r="PZK2" s="14"/>
      <c r="PZL2" s="14"/>
      <c r="PZM2" s="14"/>
      <c r="PZN2" s="14"/>
      <c r="PZO2" s="14"/>
      <c r="PZP2" s="14"/>
      <c r="PZQ2" s="14"/>
      <c r="PZR2" s="14"/>
      <c r="PZS2" s="14"/>
      <c r="PZT2" s="14"/>
      <c r="PZU2" s="14"/>
      <c r="PZV2" s="14"/>
      <c r="PZW2" s="14"/>
      <c r="PZX2" s="14"/>
      <c r="PZY2" s="14"/>
      <c r="PZZ2" s="14"/>
      <c r="QAA2" s="14"/>
      <c r="QAB2" s="14"/>
      <c r="QAC2" s="14"/>
      <c r="QAD2" s="14"/>
      <c r="QAE2" s="14"/>
      <c r="QAF2" s="14"/>
      <c r="QAG2" s="14"/>
      <c r="QAH2" s="14"/>
      <c r="QAI2" s="14"/>
      <c r="QAJ2" s="14"/>
      <c r="QAK2" s="14"/>
      <c r="QAL2" s="14"/>
      <c r="QAM2" s="14"/>
      <c r="QAN2" s="14"/>
      <c r="QAO2" s="14"/>
      <c r="QAP2" s="14"/>
      <c r="QAQ2" s="14"/>
      <c r="QAR2" s="14"/>
      <c r="QAS2" s="14"/>
      <c r="QAT2" s="14"/>
      <c r="QAU2" s="14"/>
      <c r="QAV2" s="14"/>
      <c r="QAW2" s="14"/>
      <c r="QAX2" s="14"/>
      <c r="QAY2" s="14"/>
      <c r="QAZ2" s="14"/>
      <c r="QBA2" s="14"/>
      <c r="QBB2" s="14"/>
      <c r="QBC2" s="14"/>
      <c r="QBD2" s="14"/>
      <c r="QBE2" s="14"/>
      <c r="QBF2" s="14"/>
      <c r="QBG2" s="14"/>
      <c r="QBH2" s="14"/>
      <c r="QBI2" s="14"/>
      <c r="QBJ2" s="14"/>
      <c r="QBK2" s="14"/>
      <c r="QBL2" s="14"/>
      <c r="QBM2" s="14"/>
      <c r="QBN2" s="14"/>
      <c r="QBO2" s="14"/>
      <c r="QBP2" s="14"/>
      <c r="QBQ2" s="14"/>
      <c r="QBR2" s="14"/>
      <c r="QBS2" s="14"/>
      <c r="QBT2" s="14"/>
      <c r="QBU2" s="14"/>
      <c r="QBV2" s="14"/>
      <c r="QBW2" s="14"/>
      <c r="QBX2" s="14"/>
      <c r="QBY2" s="14"/>
      <c r="QBZ2" s="14"/>
      <c r="QCA2" s="14"/>
      <c r="QCB2" s="14"/>
      <c r="QCC2" s="14"/>
      <c r="QCD2" s="14"/>
      <c r="QCE2" s="14"/>
      <c r="QCF2" s="14"/>
      <c r="QCG2" s="14"/>
      <c r="QCH2" s="14"/>
      <c r="QCI2" s="14"/>
      <c r="QCJ2" s="14"/>
      <c r="QCK2" s="14"/>
      <c r="QCL2" s="14"/>
      <c r="QCM2" s="14"/>
      <c r="QCN2" s="14"/>
      <c r="QCO2" s="14"/>
      <c r="QCP2" s="14"/>
      <c r="QCQ2" s="14"/>
      <c r="QCR2" s="14"/>
      <c r="QCS2" s="14"/>
      <c r="QCT2" s="14"/>
      <c r="QCU2" s="14"/>
      <c r="QCV2" s="14"/>
      <c r="QCW2" s="14"/>
      <c r="QCX2" s="14"/>
      <c r="QCY2" s="14"/>
      <c r="QCZ2" s="14"/>
      <c r="QDA2" s="14"/>
      <c r="QDB2" s="14"/>
      <c r="QDC2" s="14"/>
      <c r="QDD2" s="14"/>
      <c r="QDE2" s="14"/>
      <c r="QDF2" s="14"/>
      <c r="QDG2" s="14"/>
      <c r="QDH2" s="14"/>
      <c r="QDI2" s="14"/>
      <c r="QDJ2" s="14"/>
      <c r="QDK2" s="14"/>
      <c r="QDL2" s="14"/>
      <c r="QDM2" s="14"/>
      <c r="QDN2" s="14"/>
      <c r="QDO2" s="14"/>
      <c r="QDP2" s="14"/>
      <c r="QDQ2" s="14"/>
      <c r="QDR2" s="14"/>
      <c r="QDS2" s="14"/>
      <c r="QDT2" s="14"/>
      <c r="QDU2" s="14"/>
      <c r="QDV2" s="14"/>
      <c r="QDW2" s="14"/>
      <c r="QDX2" s="14"/>
      <c r="QDY2" s="14"/>
      <c r="QDZ2" s="14"/>
      <c r="QEA2" s="14"/>
      <c r="QEB2" s="14"/>
      <c r="QEC2" s="14"/>
      <c r="QED2" s="14"/>
      <c r="QEE2" s="14"/>
      <c r="QEF2" s="14"/>
      <c r="QEG2" s="14"/>
      <c r="QEH2" s="14"/>
      <c r="QEI2" s="14"/>
      <c r="QEJ2" s="14"/>
      <c r="QEK2" s="14"/>
      <c r="QEL2" s="14"/>
      <c r="QEM2" s="14"/>
      <c r="QEN2" s="14"/>
      <c r="QEO2" s="14"/>
      <c r="QEP2" s="14"/>
      <c r="QEQ2" s="14"/>
      <c r="QER2" s="14"/>
      <c r="QES2" s="14"/>
      <c r="QET2" s="14"/>
      <c r="QEU2" s="14"/>
      <c r="QEV2" s="14"/>
      <c r="QEW2" s="14"/>
      <c r="QEX2" s="14"/>
      <c r="QEY2" s="14"/>
      <c r="QEZ2" s="14"/>
      <c r="QFA2" s="14"/>
      <c r="QFB2" s="14"/>
      <c r="QFC2" s="14"/>
      <c r="QFD2" s="14"/>
      <c r="QFE2" s="14"/>
      <c r="QFF2" s="14"/>
      <c r="QFG2" s="14"/>
      <c r="QFH2" s="14"/>
      <c r="QFI2" s="14"/>
      <c r="QFJ2" s="14"/>
      <c r="QFK2" s="14"/>
      <c r="QFL2" s="14"/>
      <c r="QFM2" s="14"/>
      <c r="QFN2" s="14"/>
      <c r="QFO2" s="14"/>
      <c r="QFP2" s="14"/>
      <c r="QFQ2" s="14"/>
      <c r="QFR2" s="14"/>
      <c r="QFS2" s="14"/>
      <c r="QFT2" s="14"/>
      <c r="QFU2" s="14"/>
      <c r="QFV2" s="14"/>
      <c r="QFW2" s="14"/>
      <c r="QFX2" s="14"/>
      <c r="QFY2" s="14"/>
      <c r="QFZ2" s="14"/>
      <c r="QGA2" s="14"/>
      <c r="QGB2" s="14"/>
      <c r="QGC2" s="14"/>
      <c r="QGD2" s="14"/>
      <c r="QGE2" s="14"/>
      <c r="QGF2" s="14"/>
      <c r="QGG2" s="14"/>
      <c r="QGH2" s="14"/>
      <c r="QGI2" s="14"/>
      <c r="QGJ2" s="14"/>
      <c r="QGK2" s="14"/>
      <c r="QGL2" s="14"/>
      <c r="QGM2" s="14"/>
      <c r="QGN2" s="14"/>
      <c r="QGO2" s="14"/>
      <c r="QGP2" s="14"/>
      <c r="QGQ2" s="14"/>
      <c r="QGR2" s="14"/>
      <c r="QGS2" s="14"/>
      <c r="QGT2" s="14"/>
      <c r="QGU2" s="14"/>
      <c r="QGV2" s="14"/>
      <c r="QGW2" s="14"/>
      <c r="QGX2" s="14"/>
      <c r="QGY2" s="14"/>
      <c r="QGZ2" s="14"/>
      <c r="QHA2" s="14"/>
      <c r="QHB2" s="14"/>
      <c r="QHC2" s="14"/>
      <c r="QHD2" s="14"/>
      <c r="QHE2" s="14"/>
      <c r="QHF2" s="14"/>
      <c r="QHG2" s="14"/>
      <c r="QHH2" s="14"/>
      <c r="QHI2" s="14"/>
      <c r="QHJ2" s="14"/>
      <c r="QHK2" s="14"/>
      <c r="QHL2" s="14"/>
      <c r="QHM2" s="14"/>
      <c r="QHN2" s="14"/>
      <c r="QHO2" s="14"/>
      <c r="QHP2" s="14"/>
      <c r="QHQ2" s="14"/>
      <c r="QHR2" s="14"/>
      <c r="QHS2" s="14"/>
      <c r="QHT2" s="14"/>
      <c r="QHU2" s="14"/>
      <c r="QHV2" s="14"/>
      <c r="QHW2" s="14"/>
      <c r="QHX2" s="14"/>
      <c r="QHY2" s="14"/>
      <c r="QHZ2" s="14"/>
      <c r="QIA2" s="14"/>
      <c r="QIB2" s="14"/>
      <c r="QIC2" s="14"/>
      <c r="QID2" s="14"/>
      <c r="QIE2" s="14"/>
      <c r="QIF2" s="14"/>
      <c r="QIG2" s="14"/>
      <c r="QIH2" s="14"/>
      <c r="QII2" s="14"/>
      <c r="QIJ2" s="14"/>
      <c r="QIK2" s="14"/>
      <c r="QIL2" s="14"/>
      <c r="QIM2" s="14"/>
      <c r="QIN2" s="14"/>
      <c r="QIO2" s="14"/>
      <c r="QIP2" s="14"/>
      <c r="QIQ2" s="14"/>
      <c r="QIR2" s="14"/>
      <c r="QIS2" s="14"/>
      <c r="QIT2" s="14"/>
      <c r="QIU2" s="14"/>
      <c r="QIV2" s="14"/>
      <c r="QIW2" s="14"/>
      <c r="QIX2" s="14"/>
      <c r="QIY2" s="14"/>
      <c r="QIZ2" s="14"/>
      <c r="QJA2" s="14"/>
      <c r="QJB2" s="14"/>
      <c r="QJC2" s="14"/>
      <c r="QJD2" s="14"/>
      <c r="QJE2" s="14"/>
      <c r="QJF2" s="14"/>
      <c r="QJG2" s="14"/>
      <c r="QJH2" s="14"/>
      <c r="QJI2" s="14"/>
      <c r="QJJ2" s="14"/>
      <c r="QJK2" s="14"/>
      <c r="QJL2" s="14"/>
      <c r="QJM2" s="14"/>
      <c r="QJN2" s="14"/>
      <c r="QJO2" s="14"/>
      <c r="QJP2" s="14"/>
      <c r="QJQ2" s="14"/>
      <c r="QJR2" s="14"/>
      <c r="QJS2" s="14"/>
      <c r="QJT2" s="14"/>
      <c r="QJU2" s="14"/>
      <c r="QJV2" s="14"/>
      <c r="QJW2" s="14"/>
      <c r="QJX2" s="14"/>
      <c r="QJY2" s="14"/>
      <c r="QJZ2" s="14"/>
      <c r="QKA2" s="14"/>
      <c r="QKB2" s="14"/>
      <c r="QKC2" s="14"/>
      <c r="QKD2" s="14"/>
      <c r="QKE2" s="14"/>
      <c r="QKF2" s="14"/>
      <c r="QKG2" s="14"/>
      <c r="QKH2" s="14"/>
      <c r="QKI2" s="14"/>
      <c r="QKJ2" s="14"/>
      <c r="QKK2" s="14"/>
      <c r="QKL2" s="14"/>
      <c r="QKM2" s="14"/>
      <c r="QKN2" s="14"/>
      <c r="QKO2" s="14"/>
      <c r="QKP2" s="14"/>
      <c r="QKQ2" s="14"/>
      <c r="QKR2" s="14"/>
      <c r="QKS2" s="14"/>
      <c r="QKT2" s="14"/>
      <c r="QKU2" s="14"/>
      <c r="QKV2" s="14"/>
      <c r="QKW2" s="14"/>
      <c r="QKX2" s="14"/>
      <c r="QKY2" s="14"/>
      <c r="QKZ2" s="14"/>
      <c r="QLA2" s="14"/>
      <c r="QLB2" s="14"/>
      <c r="QLC2" s="14"/>
      <c r="QLD2" s="14"/>
      <c r="QLE2" s="14"/>
      <c r="QLF2" s="14"/>
      <c r="QLG2" s="14"/>
      <c r="QLH2" s="14"/>
      <c r="QLI2" s="14"/>
      <c r="QLJ2" s="14"/>
      <c r="QLK2" s="14"/>
      <c r="QLL2" s="14"/>
      <c r="QLM2" s="14"/>
      <c r="QLN2" s="14"/>
      <c r="QLO2" s="14"/>
      <c r="QLP2" s="14"/>
      <c r="QLQ2" s="14"/>
      <c r="QLR2" s="14"/>
      <c r="QLS2" s="14"/>
      <c r="QLT2" s="14"/>
      <c r="QLU2" s="14"/>
      <c r="QLV2" s="14"/>
      <c r="QLW2" s="14"/>
      <c r="QLX2" s="14"/>
      <c r="QLY2" s="14"/>
      <c r="QLZ2" s="14"/>
      <c r="QMA2" s="14"/>
      <c r="QMB2" s="14"/>
      <c r="QMC2" s="14"/>
      <c r="QMD2" s="14"/>
      <c r="QME2" s="14"/>
      <c r="QMF2" s="14"/>
      <c r="QMG2" s="14"/>
      <c r="QMH2" s="14"/>
      <c r="QMI2" s="14"/>
      <c r="QMJ2" s="14"/>
      <c r="QMK2" s="14"/>
      <c r="QML2" s="14"/>
      <c r="QMM2" s="14"/>
      <c r="QMN2" s="14"/>
      <c r="QMO2" s="14"/>
      <c r="QMP2" s="14"/>
      <c r="QMQ2" s="14"/>
      <c r="QMR2" s="14"/>
      <c r="QMS2" s="14"/>
      <c r="QMT2" s="14"/>
      <c r="QMU2" s="14"/>
      <c r="QMV2" s="14"/>
      <c r="QMW2" s="14"/>
      <c r="QMX2" s="14"/>
      <c r="QMY2" s="14"/>
      <c r="QMZ2" s="14"/>
      <c r="QNA2" s="14"/>
      <c r="QNB2" s="14"/>
      <c r="QNC2" s="14"/>
      <c r="QND2" s="14"/>
      <c r="QNE2" s="14"/>
      <c r="QNF2" s="14"/>
      <c r="QNG2" s="14"/>
      <c r="QNH2" s="14"/>
      <c r="QNI2" s="14"/>
      <c r="QNJ2" s="14"/>
      <c r="QNK2" s="14"/>
      <c r="QNL2" s="14"/>
      <c r="QNM2" s="14"/>
      <c r="QNN2" s="14"/>
      <c r="QNO2" s="14"/>
      <c r="QNP2" s="14"/>
      <c r="QNQ2" s="14"/>
      <c r="QNR2" s="14"/>
      <c r="QNS2" s="14"/>
      <c r="QNT2" s="14"/>
      <c r="QNU2" s="14"/>
      <c r="QNV2" s="14"/>
      <c r="QNW2" s="14"/>
      <c r="QNX2" s="14"/>
      <c r="QNY2" s="14"/>
      <c r="QNZ2" s="14"/>
      <c r="QOA2" s="14"/>
      <c r="QOB2" s="14"/>
      <c r="QOC2" s="14"/>
      <c r="QOD2" s="14"/>
      <c r="QOE2" s="14"/>
      <c r="QOF2" s="14"/>
      <c r="QOG2" s="14"/>
      <c r="QOH2" s="14"/>
      <c r="QOI2" s="14"/>
      <c r="QOJ2" s="14"/>
      <c r="QOK2" s="14"/>
      <c r="QOL2" s="14"/>
      <c r="QOM2" s="14"/>
      <c r="QON2" s="14"/>
      <c r="QOO2" s="14"/>
      <c r="QOP2" s="14"/>
      <c r="QOQ2" s="14"/>
      <c r="QOR2" s="14"/>
      <c r="QOS2" s="14"/>
      <c r="QOT2" s="14"/>
      <c r="QOU2" s="14"/>
      <c r="QOV2" s="14"/>
      <c r="QOW2" s="14"/>
      <c r="QOX2" s="14"/>
      <c r="QOY2" s="14"/>
      <c r="QOZ2" s="14"/>
      <c r="QPA2" s="14"/>
      <c r="QPB2" s="14"/>
      <c r="QPC2" s="14"/>
      <c r="QPD2" s="14"/>
      <c r="QPE2" s="14"/>
      <c r="QPF2" s="14"/>
      <c r="QPG2" s="14"/>
      <c r="QPH2" s="14"/>
      <c r="QPI2" s="14"/>
      <c r="QPJ2" s="14"/>
      <c r="QPK2" s="14"/>
      <c r="QPL2" s="14"/>
      <c r="QPM2" s="14"/>
      <c r="QPN2" s="14"/>
      <c r="QPO2" s="14"/>
      <c r="QPP2" s="14"/>
      <c r="QPQ2" s="14"/>
      <c r="QPR2" s="14"/>
      <c r="QPS2" s="14"/>
      <c r="QPT2" s="14"/>
      <c r="QPU2" s="14"/>
      <c r="QPV2" s="14"/>
      <c r="QPW2" s="14"/>
      <c r="QPX2" s="14"/>
      <c r="QPY2" s="14"/>
      <c r="QPZ2" s="14"/>
      <c r="QQA2" s="14"/>
      <c r="QQB2" s="14"/>
      <c r="QQC2" s="14"/>
      <c r="QQD2" s="14"/>
      <c r="QQE2" s="14"/>
      <c r="QQF2" s="14"/>
      <c r="QQG2" s="14"/>
      <c r="QQH2" s="14"/>
      <c r="QQI2" s="14"/>
      <c r="QQJ2" s="14"/>
      <c r="QQK2" s="14"/>
      <c r="QQL2" s="14"/>
      <c r="QQM2" s="14"/>
      <c r="QQN2" s="14"/>
      <c r="QQO2" s="14"/>
      <c r="QQP2" s="14"/>
      <c r="QQQ2" s="14"/>
      <c r="QQR2" s="14"/>
      <c r="QQS2" s="14"/>
      <c r="QQT2" s="14"/>
      <c r="QQU2" s="14"/>
      <c r="QQV2" s="14"/>
      <c r="QQW2" s="14"/>
      <c r="QQX2" s="14"/>
      <c r="QQY2" s="14"/>
      <c r="QQZ2" s="14"/>
      <c r="QRA2" s="14"/>
      <c r="QRB2" s="14"/>
      <c r="QRC2" s="14"/>
      <c r="QRD2" s="14"/>
      <c r="QRE2" s="14"/>
      <c r="QRF2" s="14"/>
      <c r="QRG2" s="14"/>
      <c r="QRH2" s="14"/>
      <c r="QRI2" s="14"/>
      <c r="QRJ2" s="14"/>
      <c r="QRK2" s="14"/>
      <c r="QRL2" s="14"/>
      <c r="QRM2" s="14"/>
      <c r="QRN2" s="14"/>
      <c r="QRO2" s="14"/>
      <c r="QRP2" s="14"/>
      <c r="QRQ2" s="14"/>
      <c r="QRR2" s="14"/>
      <c r="QRS2" s="14"/>
      <c r="QRT2" s="14"/>
      <c r="QRU2" s="14"/>
      <c r="QRV2" s="14"/>
      <c r="QRW2" s="14"/>
      <c r="QRX2" s="14"/>
      <c r="QRY2" s="14"/>
      <c r="QRZ2" s="14"/>
      <c r="QSA2" s="14"/>
      <c r="QSB2" s="14"/>
      <c r="QSC2" s="14"/>
      <c r="QSD2" s="14"/>
      <c r="QSE2" s="14"/>
      <c r="QSF2" s="14"/>
      <c r="QSG2" s="14"/>
      <c r="QSH2" s="14"/>
      <c r="QSI2" s="14"/>
      <c r="QSJ2" s="14"/>
      <c r="QSK2" s="14"/>
      <c r="QSL2" s="14"/>
      <c r="QSM2" s="14"/>
      <c r="QSN2" s="14"/>
      <c r="QSO2" s="14"/>
      <c r="QSP2" s="14"/>
      <c r="QSQ2" s="14"/>
      <c r="QSR2" s="14"/>
      <c r="QSS2" s="14"/>
      <c r="QST2" s="14"/>
      <c r="QSU2" s="14"/>
      <c r="QSV2" s="14"/>
      <c r="QSW2" s="14"/>
      <c r="QSX2" s="14"/>
      <c r="QSY2" s="14"/>
      <c r="QSZ2" s="14"/>
      <c r="QTA2" s="14"/>
      <c r="QTB2" s="14"/>
      <c r="QTC2" s="14"/>
      <c r="QTD2" s="14"/>
      <c r="QTE2" s="14"/>
      <c r="QTF2" s="14"/>
      <c r="QTG2" s="14"/>
      <c r="QTH2" s="14"/>
      <c r="QTI2" s="14"/>
      <c r="QTJ2" s="14"/>
      <c r="QTK2" s="14"/>
      <c r="QTL2" s="14"/>
      <c r="QTM2" s="14"/>
      <c r="QTN2" s="14"/>
      <c r="QTO2" s="14"/>
      <c r="QTP2" s="14"/>
      <c r="QTQ2" s="14"/>
      <c r="QTR2" s="14"/>
      <c r="QTS2" s="14"/>
      <c r="QTT2" s="14"/>
      <c r="QTU2" s="14"/>
      <c r="QTV2" s="14"/>
      <c r="QTW2" s="14"/>
      <c r="QTX2" s="14"/>
      <c r="QTY2" s="14"/>
      <c r="QTZ2" s="14"/>
      <c r="QUA2" s="14"/>
      <c r="QUB2" s="14"/>
      <c r="QUC2" s="14"/>
      <c r="QUD2" s="14"/>
      <c r="QUE2" s="14"/>
      <c r="QUF2" s="14"/>
      <c r="QUG2" s="14"/>
      <c r="QUH2" s="14"/>
      <c r="QUI2" s="14"/>
      <c r="QUJ2" s="14"/>
      <c r="QUK2" s="14"/>
      <c r="QUL2" s="14"/>
      <c r="QUM2" s="14"/>
      <c r="QUN2" s="14"/>
      <c r="QUO2" s="14"/>
      <c r="QUP2" s="14"/>
      <c r="QUQ2" s="14"/>
      <c r="QUR2" s="14"/>
      <c r="QUS2" s="14"/>
      <c r="QUT2" s="14"/>
      <c r="QUU2" s="14"/>
      <c r="QUV2" s="14"/>
      <c r="QUW2" s="14"/>
      <c r="QUX2" s="14"/>
      <c r="QUY2" s="14"/>
      <c r="QUZ2" s="14"/>
      <c r="QVA2" s="14"/>
      <c r="QVB2" s="14"/>
      <c r="QVC2" s="14"/>
      <c r="QVD2" s="14"/>
      <c r="QVE2" s="14"/>
      <c r="QVF2" s="14"/>
      <c r="QVG2" s="14"/>
      <c r="QVH2" s="14"/>
      <c r="QVI2" s="14"/>
      <c r="QVJ2" s="14"/>
      <c r="QVK2" s="14"/>
      <c r="QVL2" s="14"/>
      <c r="QVM2" s="14"/>
      <c r="QVN2" s="14"/>
      <c r="QVO2" s="14"/>
      <c r="QVP2" s="14"/>
      <c r="QVQ2" s="14"/>
      <c r="QVR2" s="14"/>
      <c r="QVS2" s="14"/>
      <c r="QVT2" s="14"/>
      <c r="QVU2" s="14"/>
      <c r="QVV2" s="14"/>
      <c r="QVW2" s="14"/>
      <c r="QVX2" s="14"/>
      <c r="QVY2" s="14"/>
      <c r="QVZ2" s="14"/>
      <c r="QWA2" s="14"/>
      <c r="QWB2" s="14"/>
      <c r="QWC2" s="14"/>
      <c r="QWD2" s="14"/>
      <c r="QWE2" s="14"/>
      <c r="QWF2" s="14"/>
      <c r="QWG2" s="14"/>
      <c r="QWH2" s="14"/>
      <c r="QWI2" s="14"/>
      <c r="QWJ2" s="14"/>
      <c r="QWK2" s="14"/>
      <c r="QWL2" s="14"/>
      <c r="QWM2" s="14"/>
      <c r="QWN2" s="14"/>
      <c r="QWO2" s="14"/>
      <c r="QWP2" s="14"/>
      <c r="QWQ2" s="14"/>
      <c r="QWR2" s="14"/>
      <c r="QWS2" s="14"/>
      <c r="QWT2" s="14"/>
      <c r="QWU2" s="14"/>
      <c r="QWV2" s="14"/>
      <c r="QWW2" s="14"/>
      <c r="QWX2" s="14"/>
      <c r="QWY2" s="14"/>
      <c r="QWZ2" s="14"/>
      <c r="QXA2" s="14"/>
      <c r="QXB2" s="14"/>
      <c r="QXC2" s="14"/>
      <c r="QXD2" s="14"/>
      <c r="QXE2" s="14"/>
      <c r="QXF2" s="14"/>
      <c r="QXG2" s="14"/>
      <c r="QXH2" s="14"/>
      <c r="QXI2" s="14"/>
      <c r="QXJ2" s="14"/>
      <c r="QXK2" s="14"/>
      <c r="QXL2" s="14"/>
      <c r="QXM2" s="14"/>
      <c r="QXN2" s="14"/>
      <c r="QXO2" s="14"/>
      <c r="QXP2" s="14"/>
      <c r="QXQ2" s="14"/>
      <c r="QXR2" s="14"/>
      <c r="QXS2" s="14"/>
      <c r="QXT2" s="14"/>
      <c r="QXU2" s="14"/>
      <c r="QXV2" s="14"/>
      <c r="QXW2" s="14"/>
      <c r="QXX2" s="14"/>
      <c r="QXY2" s="14"/>
      <c r="QXZ2" s="14"/>
      <c r="QYA2" s="14"/>
      <c r="QYB2" s="14"/>
      <c r="QYC2" s="14"/>
      <c r="QYD2" s="14"/>
      <c r="QYE2" s="14"/>
      <c r="QYF2" s="14"/>
      <c r="QYG2" s="14"/>
      <c r="QYH2" s="14"/>
      <c r="QYI2" s="14"/>
      <c r="QYJ2" s="14"/>
      <c r="QYK2" s="14"/>
      <c r="QYL2" s="14"/>
      <c r="QYM2" s="14"/>
      <c r="QYN2" s="14"/>
      <c r="QYO2" s="14"/>
      <c r="QYP2" s="14"/>
      <c r="QYQ2" s="14"/>
      <c r="QYR2" s="14"/>
      <c r="QYS2" s="14"/>
      <c r="QYT2" s="14"/>
      <c r="QYU2" s="14"/>
      <c r="QYV2" s="14"/>
      <c r="QYW2" s="14"/>
      <c r="QYX2" s="14"/>
      <c r="QYY2" s="14"/>
      <c r="QYZ2" s="14"/>
      <c r="QZA2" s="14"/>
      <c r="QZB2" s="14"/>
      <c r="QZC2" s="14"/>
      <c r="QZD2" s="14"/>
      <c r="QZE2" s="14"/>
      <c r="QZF2" s="14"/>
      <c r="QZG2" s="14"/>
      <c r="QZH2" s="14"/>
      <c r="QZI2" s="14"/>
      <c r="QZJ2" s="14"/>
      <c r="QZK2" s="14"/>
      <c r="QZL2" s="14"/>
      <c r="QZM2" s="14"/>
      <c r="QZN2" s="14"/>
      <c r="QZO2" s="14"/>
      <c r="QZP2" s="14"/>
      <c r="QZQ2" s="14"/>
      <c r="QZR2" s="14"/>
      <c r="QZS2" s="14"/>
      <c r="QZT2" s="14"/>
      <c r="QZU2" s="14"/>
      <c r="QZV2" s="14"/>
      <c r="QZW2" s="14"/>
      <c r="QZX2" s="14"/>
      <c r="QZY2" s="14"/>
      <c r="QZZ2" s="14"/>
      <c r="RAA2" s="14"/>
      <c r="RAB2" s="14"/>
      <c r="RAC2" s="14"/>
      <c r="RAD2" s="14"/>
      <c r="RAE2" s="14"/>
      <c r="RAF2" s="14"/>
      <c r="RAG2" s="14"/>
      <c r="RAH2" s="14"/>
      <c r="RAI2" s="14"/>
      <c r="RAJ2" s="14"/>
      <c r="RAK2" s="14"/>
      <c r="RAL2" s="14"/>
      <c r="RAM2" s="14"/>
      <c r="RAN2" s="14"/>
      <c r="RAO2" s="14"/>
      <c r="RAP2" s="14"/>
      <c r="RAQ2" s="14"/>
      <c r="RAR2" s="14"/>
      <c r="RAS2" s="14"/>
      <c r="RAT2" s="14"/>
      <c r="RAU2" s="14"/>
      <c r="RAV2" s="14"/>
      <c r="RAW2" s="14"/>
      <c r="RAX2" s="14"/>
      <c r="RAY2" s="14"/>
      <c r="RAZ2" s="14"/>
      <c r="RBA2" s="14"/>
      <c r="RBB2" s="14"/>
      <c r="RBC2" s="14"/>
      <c r="RBD2" s="14"/>
      <c r="RBE2" s="14"/>
      <c r="RBF2" s="14"/>
      <c r="RBG2" s="14"/>
      <c r="RBH2" s="14"/>
      <c r="RBI2" s="14"/>
      <c r="RBJ2" s="14"/>
      <c r="RBK2" s="14"/>
      <c r="RBL2" s="14"/>
      <c r="RBM2" s="14"/>
      <c r="RBN2" s="14"/>
      <c r="RBO2" s="14"/>
      <c r="RBP2" s="14"/>
      <c r="RBQ2" s="14"/>
      <c r="RBR2" s="14"/>
      <c r="RBS2" s="14"/>
      <c r="RBT2" s="14"/>
      <c r="RBU2" s="14"/>
      <c r="RBV2" s="14"/>
      <c r="RBW2" s="14"/>
      <c r="RBX2" s="14"/>
      <c r="RBY2" s="14"/>
      <c r="RBZ2" s="14"/>
      <c r="RCA2" s="14"/>
      <c r="RCB2" s="14"/>
      <c r="RCC2" s="14"/>
      <c r="RCD2" s="14"/>
      <c r="RCE2" s="14"/>
      <c r="RCF2" s="14"/>
      <c r="RCG2" s="14"/>
      <c r="RCH2" s="14"/>
      <c r="RCI2" s="14"/>
      <c r="RCJ2" s="14"/>
      <c r="RCK2" s="14"/>
      <c r="RCL2" s="14"/>
      <c r="RCM2" s="14"/>
      <c r="RCN2" s="14"/>
      <c r="RCO2" s="14"/>
      <c r="RCP2" s="14"/>
      <c r="RCQ2" s="14"/>
      <c r="RCR2" s="14"/>
      <c r="RCS2" s="14"/>
      <c r="RCT2" s="14"/>
      <c r="RCU2" s="14"/>
      <c r="RCV2" s="14"/>
      <c r="RCW2" s="14"/>
      <c r="RCX2" s="14"/>
      <c r="RCY2" s="14"/>
      <c r="RCZ2" s="14"/>
      <c r="RDA2" s="14"/>
      <c r="RDB2" s="14"/>
      <c r="RDC2" s="14"/>
      <c r="RDD2" s="14"/>
      <c r="RDE2" s="14"/>
      <c r="RDF2" s="14"/>
      <c r="RDG2" s="14"/>
      <c r="RDH2" s="14"/>
      <c r="RDI2" s="14"/>
      <c r="RDJ2" s="14"/>
      <c r="RDK2" s="14"/>
      <c r="RDL2" s="14"/>
      <c r="RDM2" s="14"/>
      <c r="RDN2" s="14"/>
      <c r="RDO2" s="14"/>
      <c r="RDP2" s="14"/>
      <c r="RDQ2" s="14"/>
      <c r="RDR2" s="14"/>
      <c r="RDS2" s="14"/>
      <c r="RDT2" s="14"/>
      <c r="RDU2" s="14"/>
      <c r="RDV2" s="14"/>
      <c r="RDW2" s="14"/>
      <c r="RDX2" s="14"/>
      <c r="RDY2" s="14"/>
      <c r="RDZ2" s="14"/>
      <c r="REA2" s="14"/>
      <c r="REB2" s="14"/>
      <c r="REC2" s="14"/>
      <c r="RED2" s="14"/>
      <c r="REE2" s="14"/>
      <c r="REF2" s="14"/>
      <c r="REG2" s="14"/>
      <c r="REH2" s="14"/>
      <c r="REI2" s="14"/>
      <c r="REJ2" s="14"/>
      <c r="REK2" s="14"/>
      <c r="REL2" s="14"/>
      <c r="REM2" s="14"/>
      <c r="REN2" s="14"/>
      <c r="REO2" s="14"/>
      <c r="REP2" s="14"/>
      <c r="REQ2" s="14"/>
      <c r="RER2" s="14"/>
      <c r="RES2" s="14"/>
      <c r="RET2" s="14"/>
      <c r="REU2" s="14"/>
      <c r="REV2" s="14"/>
      <c r="REW2" s="14"/>
      <c r="REX2" s="14"/>
      <c r="REY2" s="14"/>
      <c r="REZ2" s="14"/>
      <c r="RFA2" s="14"/>
      <c r="RFB2" s="14"/>
      <c r="RFC2" s="14"/>
      <c r="RFD2" s="14"/>
      <c r="RFE2" s="14"/>
      <c r="RFF2" s="14"/>
      <c r="RFG2" s="14"/>
      <c r="RFH2" s="14"/>
      <c r="RFI2" s="14"/>
      <c r="RFJ2" s="14"/>
      <c r="RFK2" s="14"/>
      <c r="RFL2" s="14"/>
      <c r="RFM2" s="14"/>
      <c r="RFN2" s="14"/>
      <c r="RFO2" s="14"/>
      <c r="RFP2" s="14"/>
      <c r="RFQ2" s="14"/>
      <c r="RFR2" s="14"/>
      <c r="RFS2" s="14"/>
      <c r="RFT2" s="14"/>
      <c r="RFU2" s="14"/>
      <c r="RFV2" s="14"/>
      <c r="RFW2" s="14"/>
      <c r="RFX2" s="14"/>
      <c r="RFY2" s="14"/>
      <c r="RFZ2" s="14"/>
      <c r="RGA2" s="14"/>
      <c r="RGB2" s="14"/>
      <c r="RGC2" s="14"/>
      <c r="RGD2" s="14"/>
      <c r="RGE2" s="14"/>
      <c r="RGF2" s="14"/>
      <c r="RGG2" s="14"/>
      <c r="RGH2" s="14"/>
      <c r="RGI2" s="14"/>
      <c r="RGJ2" s="14"/>
      <c r="RGK2" s="14"/>
      <c r="RGL2" s="14"/>
      <c r="RGM2" s="14"/>
      <c r="RGN2" s="14"/>
      <c r="RGO2" s="14"/>
      <c r="RGP2" s="14"/>
      <c r="RGQ2" s="14"/>
      <c r="RGR2" s="14"/>
      <c r="RGS2" s="14"/>
      <c r="RGT2" s="14"/>
      <c r="RGU2" s="14"/>
      <c r="RGV2" s="14"/>
      <c r="RGW2" s="14"/>
      <c r="RGX2" s="14"/>
      <c r="RGY2" s="14"/>
      <c r="RGZ2" s="14"/>
      <c r="RHA2" s="14"/>
      <c r="RHB2" s="14"/>
      <c r="RHC2" s="14"/>
      <c r="RHD2" s="14"/>
      <c r="RHE2" s="14"/>
      <c r="RHF2" s="14"/>
      <c r="RHG2" s="14"/>
      <c r="RHH2" s="14"/>
      <c r="RHI2" s="14"/>
      <c r="RHJ2" s="14"/>
      <c r="RHK2" s="14"/>
      <c r="RHL2" s="14"/>
      <c r="RHM2" s="14"/>
      <c r="RHN2" s="14"/>
      <c r="RHO2" s="14"/>
      <c r="RHP2" s="14"/>
      <c r="RHQ2" s="14"/>
      <c r="RHR2" s="14"/>
      <c r="RHS2" s="14"/>
      <c r="RHT2" s="14"/>
      <c r="RHU2" s="14"/>
      <c r="RHV2" s="14"/>
      <c r="RHW2" s="14"/>
      <c r="RHX2" s="14"/>
      <c r="RHY2" s="14"/>
      <c r="RHZ2" s="14"/>
      <c r="RIA2" s="14"/>
      <c r="RIB2" s="14"/>
      <c r="RIC2" s="14"/>
      <c r="RID2" s="14"/>
      <c r="RIE2" s="14"/>
      <c r="RIF2" s="14"/>
      <c r="RIG2" s="14"/>
      <c r="RIH2" s="14"/>
      <c r="RII2" s="14"/>
      <c r="RIJ2" s="14"/>
      <c r="RIK2" s="14"/>
      <c r="RIL2" s="14"/>
      <c r="RIM2" s="14"/>
      <c r="RIN2" s="14"/>
      <c r="RIO2" s="14"/>
      <c r="RIP2" s="14"/>
      <c r="RIQ2" s="14"/>
      <c r="RIR2" s="14"/>
      <c r="RIS2" s="14"/>
      <c r="RIT2" s="14"/>
      <c r="RIU2" s="14"/>
      <c r="RIV2" s="14"/>
      <c r="RIW2" s="14"/>
      <c r="RIX2" s="14"/>
      <c r="RIY2" s="14"/>
      <c r="RIZ2" s="14"/>
      <c r="RJA2" s="14"/>
      <c r="RJB2" s="14"/>
      <c r="RJC2" s="14"/>
      <c r="RJD2" s="14"/>
      <c r="RJE2" s="14"/>
      <c r="RJF2" s="14"/>
      <c r="RJG2" s="14"/>
      <c r="RJH2" s="14"/>
      <c r="RJI2" s="14"/>
      <c r="RJJ2" s="14"/>
      <c r="RJK2" s="14"/>
      <c r="RJL2" s="14"/>
      <c r="RJM2" s="14"/>
      <c r="RJN2" s="14"/>
      <c r="RJO2" s="14"/>
      <c r="RJP2" s="14"/>
      <c r="RJQ2" s="14"/>
      <c r="RJR2" s="14"/>
      <c r="RJS2" s="14"/>
      <c r="RJT2" s="14"/>
      <c r="RJU2" s="14"/>
      <c r="RJV2" s="14"/>
      <c r="RJW2" s="14"/>
      <c r="RJX2" s="14"/>
      <c r="RJY2" s="14"/>
      <c r="RJZ2" s="14"/>
      <c r="RKA2" s="14"/>
      <c r="RKB2" s="14"/>
      <c r="RKC2" s="14"/>
      <c r="RKD2" s="14"/>
      <c r="RKE2" s="14"/>
      <c r="RKF2" s="14"/>
      <c r="RKG2" s="14"/>
      <c r="RKH2" s="14"/>
      <c r="RKI2" s="14"/>
      <c r="RKJ2" s="14"/>
      <c r="RKK2" s="14"/>
      <c r="RKL2" s="14"/>
      <c r="RKM2" s="14"/>
      <c r="RKN2" s="14"/>
      <c r="RKO2" s="14"/>
      <c r="RKP2" s="14"/>
      <c r="RKQ2" s="14"/>
      <c r="RKR2" s="14"/>
      <c r="RKS2" s="14"/>
      <c r="RKT2" s="14"/>
      <c r="RKU2" s="14"/>
      <c r="RKV2" s="14"/>
      <c r="RKW2" s="14"/>
      <c r="RKX2" s="14"/>
      <c r="RKY2" s="14"/>
      <c r="RKZ2" s="14"/>
      <c r="RLA2" s="14"/>
      <c r="RLB2" s="14"/>
      <c r="RLC2" s="14"/>
      <c r="RLD2" s="14"/>
      <c r="RLE2" s="14"/>
      <c r="RLF2" s="14"/>
      <c r="RLG2" s="14"/>
      <c r="RLH2" s="14"/>
      <c r="RLI2" s="14"/>
      <c r="RLJ2" s="14"/>
      <c r="RLK2" s="14"/>
      <c r="RLL2" s="14"/>
      <c r="RLM2" s="14"/>
      <c r="RLN2" s="14"/>
      <c r="RLO2" s="14"/>
      <c r="RLP2" s="14"/>
      <c r="RLQ2" s="14"/>
      <c r="RLR2" s="14"/>
      <c r="RLS2" s="14"/>
      <c r="RLT2" s="14"/>
      <c r="RLU2" s="14"/>
      <c r="RLV2" s="14"/>
      <c r="RLW2" s="14"/>
      <c r="RLX2" s="14"/>
      <c r="RLY2" s="14"/>
      <c r="RLZ2" s="14"/>
      <c r="RMA2" s="14"/>
      <c r="RMB2" s="14"/>
      <c r="RMC2" s="14"/>
      <c r="RMD2" s="14"/>
      <c r="RME2" s="14"/>
      <c r="RMF2" s="14"/>
      <c r="RMG2" s="14"/>
      <c r="RMH2" s="14"/>
      <c r="RMI2" s="14"/>
      <c r="RMJ2" s="14"/>
      <c r="RMK2" s="14"/>
      <c r="RML2" s="14"/>
      <c r="RMM2" s="14"/>
      <c r="RMN2" s="14"/>
      <c r="RMO2" s="14"/>
      <c r="RMP2" s="14"/>
      <c r="RMQ2" s="14"/>
      <c r="RMR2" s="14"/>
      <c r="RMS2" s="14"/>
      <c r="RMT2" s="14"/>
      <c r="RMU2" s="14"/>
      <c r="RMV2" s="14"/>
      <c r="RMW2" s="14"/>
      <c r="RMX2" s="14"/>
      <c r="RMY2" s="14"/>
      <c r="RMZ2" s="14"/>
      <c r="RNA2" s="14"/>
      <c r="RNB2" s="14"/>
      <c r="RNC2" s="14"/>
      <c r="RND2" s="14"/>
      <c r="RNE2" s="14"/>
      <c r="RNF2" s="14"/>
      <c r="RNG2" s="14"/>
      <c r="RNH2" s="14"/>
      <c r="RNI2" s="14"/>
      <c r="RNJ2" s="14"/>
      <c r="RNK2" s="14"/>
      <c r="RNL2" s="14"/>
      <c r="RNM2" s="14"/>
      <c r="RNN2" s="14"/>
      <c r="RNO2" s="14"/>
      <c r="RNP2" s="14"/>
      <c r="RNQ2" s="14"/>
      <c r="RNR2" s="14"/>
      <c r="RNS2" s="14"/>
      <c r="RNT2" s="14"/>
      <c r="RNU2" s="14"/>
      <c r="RNV2" s="14"/>
      <c r="RNW2" s="14"/>
      <c r="RNX2" s="14"/>
      <c r="RNY2" s="14"/>
      <c r="RNZ2" s="14"/>
      <c r="ROA2" s="14"/>
      <c r="ROB2" s="14"/>
      <c r="ROC2" s="14"/>
      <c r="ROD2" s="14"/>
      <c r="ROE2" s="14"/>
      <c r="ROF2" s="14"/>
      <c r="ROG2" s="14"/>
      <c r="ROH2" s="14"/>
      <c r="ROI2" s="14"/>
      <c r="ROJ2" s="14"/>
      <c r="ROK2" s="14"/>
      <c r="ROL2" s="14"/>
      <c r="ROM2" s="14"/>
      <c r="RON2" s="14"/>
      <c r="ROO2" s="14"/>
      <c r="ROP2" s="14"/>
      <c r="ROQ2" s="14"/>
      <c r="ROR2" s="14"/>
      <c r="ROS2" s="14"/>
      <c r="ROT2" s="14"/>
      <c r="ROU2" s="14"/>
      <c r="ROV2" s="14"/>
      <c r="ROW2" s="14"/>
      <c r="ROX2" s="14"/>
      <c r="ROY2" s="14"/>
      <c r="ROZ2" s="14"/>
      <c r="RPA2" s="14"/>
      <c r="RPB2" s="14"/>
      <c r="RPC2" s="14"/>
      <c r="RPD2" s="14"/>
      <c r="RPE2" s="14"/>
      <c r="RPF2" s="14"/>
      <c r="RPG2" s="14"/>
      <c r="RPH2" s="14"/>
      <c r="RPI2" s="14"/>
      <c r="RPJ2" s="14"/>
      <c r="RPK2" s="14"/>
      <c r="RPL2" s="14"/>
      <c r="RPM2" s="14"/>
      <c r="RPN2" s="14"/>
      <c r="RPO2" s="14"/>
      <c r="RPP2" s="14"/>
      <c r="RPQ2" s="14"/>
      <c r="RPR2" s="14"/>
      <c r="RPS2" s="14"/>
      <c r="RPT2" s="14"/>
      <c r="RPU2" s="14"/>
      <c r="RPV2" s="14"/>
      <c r="RPW2" s="14"/>
      <c r="RPX2" s="14"/>
      <c r="RPY2" s="14"/>
      <c r="RPZ2" s="14"/>
      <c r="RQA2" s="14"/>
      <c r="RQB2" s="14"/>
      <c r="RQC2" s="14"/>
      <c r="RQD2" s="14"/>
      <c r="RQE2" s="14"/>
      <c r="RQF2" s="14"/>
      <c r="RQG2" s="14"/>
      <c r="RQH2" s="14"/>
      <c r="RQI2" s="14"/>
      <c r="RQJ2" s="14"/>
      <c r="RQK2" s="14"/>
      <c r="RQL2" s="14"/>
      <c r="RQM2" s="14"/>
      <c r="RQN2" s="14"/>
      <c r="RQO2" s="14"/>
      <c r="RQP2" s="14"/>
      <c r="RQQ2" s="14"/>
      <c r="RQR2" s="14"/>
      <c r="RQS2" s="14"/>
      <c r="RQT2" s="14"/>
      <c r="RQU2" s="14"/>
      <c r="RQV2" s="14"/>
      <c r="RQW2" s="14"/>
      <c r="RQX2" s="14"/>
      <c r="RQY2" s="14"/>
      <c r="RQZ2" s="14"/>
      <c r="RRA2" s="14"/>
      <c r="RRB2" s="14"/>
      <c r="RRC2" s="14"/>
      <c r="RRD2" s="14"/>
      <c r="RRE2" s="14"/>
      <c r="RRF2" s="14"/>
      <c r="RRG2" s="14"/>
      <c r="RRH2" s="14"/>
      <c r="RRI2" s="14"/>
      <c r="RRJ2" s="14"/>
      <c r="RRK2" s="14"/>
      <c r="RRL2" s="14"/>
      <c r="RRM2" s="14"/>
      <c r="RRN2" s="14"/>
      <c r="RRO2" s="14"/>
      <c r="RRP2" s="14"/>
      <c r="RRQ2" s="14"/>
      <c r="RRR2" s="14"/>
      <c r="RRS2" s="14"/>
      <c r="RRT2" s="14"/>
      <c r="RRU2" s="14"/>
      <c r="RRV2" s="14"/>
      <c r="RRW2" s="14"/>
      <c r="RRX2" s="14"/>
      <c r="RRY2" s="14"/>
      <c r="RRZ2" s="14"/>
      <c r="RSA2" s="14"/>
      <c r="RSB2" s="14"/>
      <c r="RSC2" s="14"/>
      <c r="RSD2" s="14"/>
      <c r="RSE2" s="14"/>
      <c r="RSF2" s="14"/>
      <c r="RSG2" s="14"/>
      <c r="RSH2" s="14"/>
      <c r="RSI2" s="14"/>
      <c r="RSJ2" s="14"/>
      <c r="RSK2" s="14"/>
      <c r="RSL2" s="14"/>
      <c r="RSM2" s="14"/>
      <c r="RSN2" s="14"/>
      <c r="RSO2" s="14"/>
      <c r="RSP2" s="14"/>
      <c r="RSQ2" s="14"/>
      <c r="RSR2" s="14"/>
      <c r="RSS2" s="14"/>
      <c r="RST2" s="14"/>
      <c r="RSU2" s="14"/>
      <c r="RSV2" s="14"/>
      <c r="RSW2" s="14"/>
      <c r="RSX2" s="14"/>
      <c r="RSY2" s="14"/>
      <c r="RSZ2" s="14"/>
      <c r="RTA2" s="14"/>
      <c r="RTB2" s="14"/>
      <c r="RTC2" s="14"/>
      <c r="RTD2" s="14"/>
      <c r="RTE2" s="14"/>
      <c r="RTF2" s="14"/>
      <c r="RTG2" s="14"/>
      <c r="RTH2" s="14"/>
      <c r="RTI2" s="14"/>
      <c r="RTJ2" s="14"/>
      <c r="RTK2" s="14"/>
      <c r="RTL2" s="14"/>
      <c r="RTM2" s="14"/>
      <c r="RTN2" s="14"/>
      <c r="RTO2" s="14"/>
      <c r="RTP2" s="14"/>
      <c r="RTQ2" s="14"/>
      <c r="RTR2" s="14"/>
      <c r="RTS2" s="14"/>
      <c r="RTT2" s="14"/>
      <c r="RTU2" s="14"/>
      <c r="RTV2" s="14"/>
      <c r="RTW2" s="14"/>
      <c r="RTX2" s="14"/>
      <c r="RTY2" s="14"/>
      <c r="RTZ2" s="14"/>
      <c r="RUA2" s="14"/>
      <c r="RUB2" s="14"/>
      <c r="RUC2" s="14"/>
      <c r="RUD2" s="14"/>
      <c r="RUE2" s="14"/>
      <c r="RUF2" s="14"/>
      <c r="RUG2" s="14"/>
      <c r="RUH2" s="14"/>
      <c r="RUI2" s="14"/>
      <c r="RUJ2" s="14"/>
      <c r="RUK2" s="14"/>
      <c r="RUL2" s="14"/>
      <c r="RUM2" s="14"/>
      <c r="RUN2" s="14"/>
      <c r="RUO2" s="14"/>
      <c r="RUP2" s="14"/>
      <c r="RUQ2" s="14"/>
      <c r="RUR2" s="14"/>
      <c r="RUS2" s="14"/>
      <c r="RUT2" s="14"/>
      <c r="RUU2" s="14"/>
      <c r="RUV2" s="14"/>
      <c r="RUW2" s="14"/>
      <c r="RUX2" s="14"/>
      <c r="RUY2" s="14"/>
      <c r="RUZ2" s="14"/>
      <c r="RVA2" s="14"/>
      <c r="RVB2" s="14"/>
      <c r="RVC2" s="14"/>
      <c r="RVD2" s="14"/>
      <c r="RVE2" s="14"/>
      <c r="RVF2" s="14"/>
      <c r="RVG2" s="14"/>
      <c r="RVH2" s="14"/>
      <c r="RVI2" s="14"/>
      <c r="RVJ2" s="14"/>
      <c r="RVK2" s="14"/>
      <c r="RVL2" s="14"/>
      <c r="RVM2" s="14"/>
      <c r="RVN2" s="14"/>
      <c r="RVO2" s="14"/>
      <c r="RVP2" s="14"/>
      <c r="RVQ2" s="14"/>
      <c r="RVR2" s="14"/>
      <c r="RVS2" s="14"/>
      <c r="RVT2" s="14"/>
      <c r="RVU2" s="14"/>
      <c r="RVV2" s="14"/>
      <c r="RVW2" s="14"/>
      <c r="RVX2" s="14"/>
      <c r="RVY2" s="14"/>
      <c r="RVZ2" s="14"/>
      <c r="RWA2" s="14"/>
      <c r="RWB2" s="14"/>
      <c r="RWC2" s="14"/>
      <c r="RWD2" s="14"/>
      <c r="RWE2" s="14"/>
      <c r="RWF2" s="14"/>
      <c r="RWG2" s="14"/>
      <c r="RWH2" s="14"/>
      <c r="RWI2" s="14"/>
      <c r="RWJ2" s="14"/>
      <c r="RWK2" s="14"/>
      <c r="RWL2" s="14"/>
      <c r="RWM2" s="14"/>
      <c r="RWN2" s="14"/>
      <c r="RWO2" s="14"/>
      <c r="RWP2" s="14"/>
      <c r="RWQ2" s="14"/>
      <c r="RWR2" s="14"/>
      <c r="RWS2" s="14"/>
      <c r="RWT2" s="14"/>
      <c r="RWU2" s="14"/>
      <c r="RWV2" s="14"/>
      <c r="RWW2" s="14"/>
      <c r="RWX2" s="14"/>
      <c r="RWY2" s="14"/>
      <c r="RWZ2" s="14"/>
      <c r="RXA2" s="14"/>
      <c r="RXB2" s="14"/>
      <c r="RXC2" s="14"/>
      <c r="RXD2" s="14"/>
      <c r="RXE2" s="14"/>
      <c r="RXF2" s="14"/>
      <c r="RXG2" s="14"/>
      <c r="RXH2" s="14"/>
      <c r="RXI2" s="14"/>
      <c r="RXJ2" s="14"/>
      <c r="RXK2" s="14"/>
      <c r="RXL2" s="14"/>
      <c r="RXM2" s="14"/>
      <c r="RXN2" s="14"/>
      <c r="RXO2" s="14"/>
      <c r="RXP2" s="14"/>
      <c r="RXQ2" s="14"/>
      <c r="RXR2" s="14"/>
      <c r="RXS2" s="14"/>
      <c r="RXT2" s="14"/>
      <c r="RXU2" s="14"/>
      <c r="RXV2" s="14"/>
      <c r="RXW2" s="14"/>
      <c r="RXX2" s="14"/>
      <c r="RXY2" s="14"/>
      <c r="RXZ2" s="14"/>
      <c r="RYA2" s="14"/>
      <c r="RYB2" s="14"/>
      <c r="RYC2" s="14"/>
      <c r="RYD2" s="14"/>
      <c r="RYE2" s="14"/>
      <c r="RYF2" s="14"/>
      <c r="RYG2" s="14"/>
      <c r="RYH2" s="14"/>
      <c r="RYI2" s="14"/>
      <c r="RYJ2" s="14"/>
      <c r="RYK2" s="14"/>
      <c r="RYL2" s="14"/>
      <c r="RYM2" s="14"/>
      <c r="RYN2" s="14"/>
      <c r="RYO2" s="14"/>
      <c r="RYP2" s="14"/>
      <c r="RYQ2" s="14"/>
      <c r="RYR2" s="14"/>
      <c r="RYS2" s="14"/>
      <c r="RYT2" s="14"/>
      <c r="RYU2" s="14"/>
      <c r="RYV2" s="14"/>
      <c r="RYW2" s="14"/>
      <c r="RYX2" s="14"/>
      <c r="RYY2" s="14"/>
      <c r="RYZ2" s="14"/>
      <c r="RZA2" s="14"/>
      <c r="RZB2" s="14"/>
      <c r="RZC2" s="14"/>
      <c r="RZD2" s="14"/>
      <c r="RZE2" s="14"/>
      <c r="RZF2" s="14"/>
      <c r="RZG2" s="14"/>
      <c r="RZH2" s="14"/>
      <c r="RZI2" s="14"/>
      <c r="RZJ2" s="14"/>
      <c r="RZK2" s="14"/>
      <c r="RZL2" s="14"/>
      <c r="RZM2" s="14"/>
      <c r="RZN2" s="14"/>
      <c r="RZO2" s="14"/>
      <c r="RZP2" s="14"/>
      <c r="RZQ2" s="14"/>
      <c r="RZR2" s="14"/>
      <c r="RZS2" s="14"/>
      <c r="RZT2" s="14"/>
      <c r="RZU2" s="14"/>
      <c r="RZV2" s="14"/>
      <c r="RZW2" s="14"/>
      <c r="RZX2" s="14"/>
      <c r="RZY2" s="14"/>
      <c r="RZZ2" s="14"/>
      <c r="SAA2" s="14"/>
      <c r="SAB2" s="14"/>
      <c r="SAC2" s="14"/>
      <c r="SAD2" s="14"/>
      <c r="SAE2" s="14"/>
      <c r="SAF2" s="14"/>
      <c r="SAG2" s="14"/>
      <c r="SAH2" s="14"/>
      <c r="SAI2" s="14"/>
      <c r="SAJ2" s="14"/>
      <c r="SAK2" s="14"/>
      <c r="SAL2" s="14"/>
      <c r="SAM2" s="14"/>
      <c r="SAN2" s="14"/>
      <c r="SAO2" s="14"/>
      <c r="SAP2" s="14"/>
      <c r="SAQ2" s="14"/>
      <c r="SAR2" s="14"/>
      <c r="SAS2" s="14"/>
      <c r="SAT2" s="14"/>
      <c r="SAU2" s="14"/>
      <c r="SAV2" s="14"/>
      <c r="SAW2" s="14"/>
      <c r="SAX2" s="14"/>
      <c r="SAY2" s="14"/>
      <c r="SAZ2" s="14"/>
      <c r="SBA2" s="14"/>
      <c r="SBB2" s="14"/>
      <c r="SBC2" s="14"/>
      <c r="SBD2" s="14"/>
      <c r="SBE2" s="14"/>
      <c r="SBF2" s="14"/>
      <c r="SBG2" s="14"/>
      <c r="SBH2" s="14"/>
      <c r="SBI2" s="14"/>
      <c r="SBJ2" s="14"/>
      <c r="SBK2" s="14"/>
      <c r="SBL2" s="14"/>
      <c r="SBM2" s="14"/>
      <c r="SBN2" s="14"/>
      <c r="SBO2" s="14"/>
      <c r="SBP2" s="14"/>
      <c r="SBQ2" s="14"/>
      <c r="SBR2" s="14"/>
      <c r="SBS2" s="14"/>
      <c r="SBT2" s="14"/>
      <c r="SBU2" s="14"/>
      <c r="SBV2" s="14"/>
      <c r="SBW2" s="14"/>
      <c r="SBX2" s="14"/>
      <c r="SBY2" s="14"/>
      <c r="SBZ2" s="14"/>
      <c r="SCA2" s="14"/>
      <c r="SCB2" s="14"/>
      <c r="SCC2" s="14"/>
      <c r="SCD2" s="14"/>
      <c r="SCE2" s="14"/>
      <c r="SCF2" s="14"/>
      <c r="SCG2" s="14"/>
      <c r="SCH2" s="14"/>
      <c r="SCI2" s="14"/>
      <c r="SCJ2" s="14"/>
      <c r="SCK2" s="14"/>
      <c r="SCL2" s="14"/>
      <c r="SCM2" s="14"/>
      <c r="SCN2" s="14"/>
      <c r="SCO2" s="14"/>
      <c r="SCP2" s="14"/>
      <c r="SCQ2" s="14"/>
      <c r="SCR2" s="14"/>
      <c r="SCS2" s="14"/>
      <c r="SCT2" s="14"/>
      <c r="SCU2" s="14"/>
      <c r="SCV2" s="14"/>
      <c r="SCW2" s="14"/>
      <c r="SCX2" s="14"/>
      <c r="SCY2" s="14"/>
      <c r="SCZ2" s="14"/>
      <c r="SDA2" s="14"/>
      <c r="SDB2" s="14"/>
      <c r="SDC2" s="14"/>
      <c r="SDD2" s="14"/>
      <c r="SDE2" s="14"/>
      <c r="SDF2" s="14"/>
      <c r="SDG2" s="14"/>
      <c r="SDH2" s="14"/>
      <c r="SDI2" s="14"/>
      <c r="SDJ2" s="14"/>
      <c r="SDK2" s="14"/>
      <c r="SDL2" s="14"/>
      <c r="SDM2" s="14"/>
      <c r="SDN2" s="14"/>
      <c r="SDO2" s="14"/>
      <c r="SDP2" s="14"/>
      <c r="SDQ2" s="14"/>
      <c r="SDR2" s="14"/>
      <c r="SDS2" s="14"/>
      <c r="SDT2" s="14"/>
      <c r="SDU2" s="14"/>
      <c r="SDV2" s="14"/>
      <c r="SDW2" s="14"/>
      <c r="SDX2" s="14"/>
      <c r="SDY2" s="14"/>
      <c r="SDZ2" s="14"/>
      <c r="SEA2" s="14"/>
      <c r="SEB2" s="14"/>
      <c r="SEC2" s="14"/>
      <c r="SED2" s="14"/>
      <c r="SEE2" s="14"/>
      <c r="SEF2" s="14"/>
      <c r="SEG2" s="14"/>
      <c r="SEH2" s="14"/>
      <c r="SEI2" s="14"/>
      <c r="SEJ2" s="14"/>
      <c r="SEK2" s="14"/>
      <c r="SEL2" s="14"/>
      <c r="SEM2" s="14"/>
      <c r="SEN2" s="14"/>
      <c r="SEO2" s="14"/>
      <c r="SEP2" s="14"/>
      <c r="SEQ2" s="14"/>
      <c r="SER2" s="14"/>
      <c r="SES2" s="14"/>
      <c r="SET2" s="14"/>
      <c r="SEU2" s="14"/>
      <c r="SEV2" s="14"/>
      <c r="SEW2" s="14"/>
      <c r="SEX2" s="14"/>
      <c r="SEY2" s="14"/>
      <c r="SEZ2" s="14"/>
      <c r="SFA2" s="14"/>
      <c r="SFB2" s="14"/>
      <c r="SFC2" s="14"/>
      <c r="SFD2" s="14"/>
      <c r="SFE2" s="14"/>
      <c r="SFF2" s="14"/>
      <c r="SFG2" s="14"/>
      <c r="SFH2" s="14"/>
      <c r="SFI2" s="14"/>
      <c r="SFJ2" s="14"/>
      <c r="SFK2" s="14"/>
      <c r="SFL2" s="14"/>
      <c r="SFM2" s="14"/>
      <c r="SFN2" s="14"/>
      <c r="SFO2" s="14"/>
      <c r="SFP2" s="14"/>
      <c r="SFQ2" s="14"/>
      <c r="SFR2" s="14"/>
      <c r="SFS2" s="14"/>
      <c r="SFT2" s="14"/>
      <c r="SFU2" s="14"/>
      <c r="SFV2" s="14"/>
      <c r="SFW2" s="14"/>
      <c r="SFX2" s="14"/>
      <c r="SFY2" s="14"/>
      <c r="SFZ2" s="14"/>
      <c r="SGA2" s="14"/>
      <c r="SGB2" s="14"/>
      <c r="SGC2" s="14"/>
      <c r="SGD2" s="14"/>
      <c r="SGE2" s="14"/>
      <c r="SGF2" s="14"/>
      <c r="SGG2" s="14"/>
      <c r="SGH2" s="14"/>
      <c r="SGI2" s="14"/>
      <c r="SGJ2" s="14"/>
      <c r="SGK2" s="14"/>
      <c r="SGL2" s="14"/>
      <c r="SGM2" s="14"/>
      <c r="SGN2" s="14"/>
      <c r="SGO2" s="14"/>
      <c r="SGP2" s="14"/>
      <c r="SGQ2" s="14"/>
      <c r="SGR2" s="14"/>
      <c r="SGS2" s="14"/>
      <c r="SGT2" s="14"/>
      <c r="SGU2" s="14"/>
      <c r="SGV2" s="14"/>
      <c r="SGW2" s="14"/>
      <c r="SGX2" s="14"/>
      <c r="SGY2" s="14"/>
      <c r="SGZ2" s="14"/>
      <c r="SHA2" s="14"/>
      <c r="SHB2" s="14"/>
      <c r="SHC2" s="14"/>
      <c r="SHD2" s="14"/>
      <c r="SHE2" s="14"/>
      <c r="SHF2" s="14"/>
      <c r="SHG2" s="14"/>
      <c r="SHH2" s="14"/>
      <c r="SHI2" s="14"/>
      <c r="SHJ2" s="14"/>
      <c r="SHK2" s="14"/>
      <c r="SHL2" s="14"/>
      <c r="SHM2" s="14"/>
      <c r="SHN2" s="14"/>
      <c r="SHO2" s="14"/>
      <c r="SHP2" s="14"/>
      <c r="SHQ2" s="14"/>
      <c r="SHR2" s="14"/>
      <c r="SHS2" s="14"/>
      <c r="SHT2" s="14"/>
      <c r="SHU2" s="14"/>
      <c r="SHV2" s="14"/>
      <c r="SHW2" s="14"/>
      <c r="SHX2" s="14"/>
      <c r="SHY2" s="14"/>
      <c r="SHZ2" s="14"/>
      <c r="SIA2" s="14"/>
      <c r="SIB2" s="14"/>
      <c r="SIC2" s="14"/>
      <c r="SID2" s="14"/>
      <c r="SIE2" s="14"/>
      <c r="SIF2" s="14"/>
      <c r="SIG2" s="14"/>
      <c r="SIH2" s="14"/>
      <c r="SII2" s="14"/>
      <c r="SIJ2" s="14"/>
      <c r="SIK2" s="14"/>
      <c r="SIL2" s="14"/>
      <c r="SIM2" s="14"/>
      <c r="SIN2" s="14"/>
      <c r="SIO2" s="14"/>
      <c r="SIP2" s="14"/>
      <c r="SIQ2" s="14"/>
      <c r="SIR2" s="14"/>
      <c r="SIS2" s="14"/>
      <c r="SIT2" s="14"/>
      <c r="SIU2" s="14"/>
      <c r="SIV2" s="14"/>
      <c r="SIW2" s="14"/>
      <c r="SIX2" s="14"/>
      <c r="SIY2" s="14"/>
      <c r="SIZ2" s="14"/>
      <c r="SJA2" s="14"/>
      <c r="SJB2" s="14"/>
      <c r="SJC2" s="14"/>
      <c r="SJD2" s="14"/>
      <c r="SJE2" s="14"/>
      <c r="SJF2" s="14"/>
      <c r="SJG2" s="14"/>
      <c r="SJH2" s="14"/>
      <c r="SJI2" s="14"/>
      <c r="SJJ2" s="14"/>
      <c r="SJK2" s="14"/>
      <c r="SJL2" s="14"/>
      <c r="SJM2" s="14"/>
      <c r="SJN2" s="14"/>
      <c r="SJO2" s="14"/>
      <c r="SJP2" s="14"/>
      <c r="SJQ2" s="14"/>
      <c r="SJR2" s="14"/>
      <c r="SJS2" s="14"/>
      <c r="SJT2" s="14"/>
      <c r="SJU2" s="14"/>
      <c r="SJV2" s="14"/>
      <c r="SJW2" s="14"/>
      <c r="SJX2" s="14"/>
      <c r="SJY2" s="14"/>
      <c r="SJZ2" s="14"/>
      <c r="SKA2" s="14"/>
      <c r="SKB2" s="14"/>
      <c r="SKC2" s="14"/>
      <c r="SKD2" s="14"/>
      <c r="SKE2" s="14"/>
      <c r="SKF2" s="14"/>
      <c r="SKG2" s="14"/>
      <c r="SKH2" s="14"/>
      <c r="SKI2" s="14"/>
      <c r="SKJ2" s="14"/>
      <c r="SKK2" s="14"/>
      <c r="SKL2" s="14"/>
      <c r="SKM2" s="14"/>
      <c r="SKN2" s="14"/>
      <c r="SKO2" s="14"/>
      <c r="SKP2" s="14"/>
      <c r="SKQ2" s="14"/>
      <c r="SKR2" s="14"/>
      <c r="SKS2" s="14"/>
      <c r="SKT2" s="14"/>
      <c r="SKU2" s="14"/>
      <c r="SKV2" s="14"/>
      <c r="SKW2" s="14"/>
      <c r="SKX2" s="14"/>
      <c r="SKY2" s="14"/>
      <c r="SKZ2" s="14"/>
      <c r="SLA2" s="14"/>
      <c r="SLB2" s="14"/>
      <c r="SLC2" s="14"/>
      <c r="SLD2" s="14"/>
      <c r="SLE2" s="14"/>
      <c r="SLF2" s="14"/>
      <c r="SLG2" s="14"/>
      <c r="SLH2" s="14"/>
      <c r="SLI2" s="14"/>
      <c r="SLJ2" s="14"/>
      <c r="SLK2" s="14"/>
      <c r="SLL2" s="14"/>
      <c r="SLM2" s="14"/>
      <c r="SLN2" s="14"/>
      <c r="SLO2" s="14"/>
      <c r="SLP2" s="14"/>
      <c r="SLQ2" s="14"/>
      <c r="SLR2" s="14"/>
      <c r="SLS2" s="14"/>
      <c r="SLT2" s="14"/>
      <c r="SLU2" s="14"/>
      <c r="SLV2" s="14"/>
      <c r="SLW2" s="14"/>
      <c r="SLX2" s="14"/>
      <c r="SLY2" s="14"/>
      <c r="SLZ2" s="14"/>
      <c r="SMA2" s="14"/>
      <c r="SMB2" s="14"/>
      <c r="SMC2" s="14"/>
      <c r="SMD2" s="14"/>
      <c r="SME2" s="14"/>
      <c r="SMF2" s="14"/>
      <c r="SMG2" s="14"/>
      <c r="SMH2" s="14"/>
      <c r="SMI2" s="14"/>
      <c r="SMJ2" s="14"/>
      <c r="SMK2" s="14"/>
      <c r="SML2" s="14"/>
      <c r="SMM2" s="14"/>
      <c r="SMN2" s="14"/>
      <c r="SMO2" s="14"/>
      <c r="SMP2" s="14"/>
      <c r="SMQ2" s="14"/>
      <c r="SMR2" s="14"/>
      <c r="SMS2" s="14"/>
      <c r="SMT2" s="14"/>
      <c r="SMU2" s="14"/>
      <c r="SMV2" s="14"/>
      <c r="SMW2" s="14"/>
      <c r="SMX2" s="14"/>
      <c r="SMY2" s="14"/>
      <c r="SMZ2" s="14"/>
      <c r="SNA2" s="14"/>
      <c r="SNB2" s="14"/>
      <c r="SNC2" s="14"/>
      <c r="SND2" s="14"/>
      <c r="SNE2" s="14"/>
      <c r="SNF2" s="14"/>
      <c r="SNG2" s="14"/>
      <c r="SNH2" s="14"/>
      <c r="SNI2" s="14"/>
      <c r="SNJ2" s="14"/>
      <c r="SNK2" s="14"/>
      <c r="SNL2" s="14"/>
      <c r="SNM2" s="14"/>
      <c r="SNN2" s="14"/>
      <c r="SNO2" s="14"/>
      <c r="SNP2" s="14"/>
      <c r="SNQ2" s="14"/>
      <c r="SNR2" s="14"/>
      <c r="SNS2" s="14"/>
      <c r="SNT2" s="14"/>
      <c r="SNU2" s="14"/>
      <c r="SNV2" s="14"/>
      <c r="SNW2" s="14"/>
      <c r="SNX2" s="14"/>
      <c r="SNY2" s="14"/>
      <c r="SNZ2" s="14"/>
      <c r="SOA2" s="14"/>
      <c r="SOB2" s="14"/>
      <c r="SOC2" s="14"/>
      <c r="SOD2" s="14"/>
      <c r="SOE2" s="14"/>
      <c r="SOF2" s="14"/>
      <c r="SOG2" s="14"/>
      <c r="SOH2" s="14"/>
      <c r="SOI2" s="14"/>
      <c r="SOJ2" s="14"/>
      <c r="SOK2" s="14"/>
      <c r="SOL2" s="14"/>
      <c r="SOM2" s="14"/>
      <c r="SON2" s="14"/>
      <c r="SOO2" s="14"/>
      <c r="SOP2" s="14"/>
      <c r="SOQ2" s="14"/>
      <c r="SOR2" s="14"/>
      <c r="SOS2" s="14"/>
      <c r="SOT2" s="14"/>
      <c r="SOU2" s="14"/>
      <c r="SOV2" s="14"/>
      <c r="SOW2" s="14"/>
      <c r="SOX2" s="14"/>
      <c r="SOY2" s="14"/>
      <c r="SOZ2" s="14"/>
      <c r="SPA2" s="14"/>
      <c r="SPB2" s="14"/>
      <c r="SPC2" s="14"/>
      <c r="SPD2" s="14"/>
      <c r="SPE2" s="14"/>
      <c r="SPF2" s="14"/>
      <c r="SPG2" s="14"/>
      <c r="SPH2" s="14"/>
      <c r="SPI2" s="14"/>
      <c r="SPJ2" s="14"/>
      <c r="SPK2" s="14"/>
      <c r="SPL2" s="14"/>
      <c r="SPM2" s="14"/>
      <c r="SPN2" s="14"/>
      <c r="SPO2" s="14"/>
      <c r="SPP2" s="14"/>
      <c r="SPQ2" s="14"/>
      <c r="SPR2" s="14"/>
      <c r="SPS2" s="14"/>
      <c r="SPT2" s="14"/>
      <c r="SPU2" s="14"/>
      <c r="SPV2" s="14"/>
      <c r="SPW2" s="14"/>
      <c r="SPX2" s="14"/>
      <c r="SPY2" s="14"/>
      <c r="SPZ2" s="14"/>
      <c r="SQA2" s="14"/>
      <c r="SQB2" s="14"/>
      <c r="SQC2" s="14"/>
      <c r="SQD2" s="14"/>
      <c r="SQE2" s="14"/>
      <c r="SQF2" s="14"/>
      <c r="SQG2" s="14"/>
      <c r="SQH2" s="14"/>
      <c r="SQI2" s="14"/>
      <c r="SQJ2" s="14"/>
      <c r="SQK2" s="14"/>
      <c r="SQL2" s="14"/>
      <c r="SQM2" s="14"/>
      <c r="SQN2" s="14"/>
      <c r="SQO2" s="14"/>
      <c r="SQP2" s="14"/>
      <c r="SQQ2" s="14"/>
      <c r="SQR2" s="14"/>
      <c r="SQS2" s="14"/>
      <c r="SQT2" s="14"/>
      <c r="SQU2" s="14"/>
      <c r="SQV2" s="14"/>
      <c r="SQW2" s="14"/>
      <c r="SQX2" s="14"/>
      <c r="SQY2" s="14"/>
      <c r="SQZ2" s="14"/>
      <c r="SRA2" s="14"/>
      <c r="SRB2" s="14"/>
      <c r="SRC2" s="14"/>
      <c r="SRD2" s="14"/>
      <c r="SRE2" s="14"/>
      <c r="SRF2" s="14"/>
      <c r="SRG2" s="14"/>
      <c r="SRH2" s="14"/>
      <c r="SRI2" s="14"/>
      <c r="SRJ2" s="14"/>
      <c r="SRK2" s="14"/>
      <c r="SRL2" s="14"/>
      <c r="SRM2" s="14"/>
      <c r="SRN2" s="14"/>
      <c r="SRO2" s="14"/>
      <c r="SRP2" s="14"/>
      <c r="SRQ2" s="14"/>
      <c r="SRR2" s="14"/>
      <c r="SRS2" s="14"/>
      <c r="SRT2" s="14"/>
      <c r="SRU2" s="14"/>
      <c r="SRV2" s="14"/>
      <c r="SRW2" s="14"/>
      <c r="SRX2" s="14"/>
      <c r="SRY2" s="14"/>
      <c r="SRZ2" s="14"/>
      <c r="SSA2" s="14"/>
      <c r="SSB2" s="14"/>
      <c r="SSC2" s="14"/>
      <c r="SSD2" s="14"/>
      <c r="SSE2" s="14"/>
      <c r="SSF2" s="14"/>
      <c r="SSG2" s="14"/>
      <c r="SSH2" s="14"/>
      <c r="SSI2" s="14"/>
      <c r="SSJ2" s="14"/>
      <c r="SSK2" s="14"/>
      <c r="SSL2" s="14"/>
      <c r="SSM2" s="14"/>
      <c r="SSN2" s="14"/>
      <c r="SSO2" s="14"/>
      <c r="SSP2" s="14"/>
      <c r="SSQ2" s="14"/>
      <c r="SSR2" s="14"/>
      <c r="SSS2" s="14"/>
      <c r="SST2" s="14"/>
      <c r="SSU2" s="14"/>
      <c r="SSV2" s="14"/>
      <c r="SSW2" s="14"/>
      <c r="SSX2" s="14"/>
      <c r="SSY2" s="14"/>
      <c r="SSZ2" s="14"/>
      <c r="STA2" s="14"/>
      <c r="STB2" s="14"/>
      <c r="STC2" s="14"/>
      <c r="STD2" s="14"/>
      <c r="STE2" s="14"/>
      <c r="STF2" s="14"/>
      <c r="STG2" s="14"/>
      <c r="STH2" s="14"/>
      <c r="STI2" s="14"/>
      <c r="STJ2" s="14"/>
      <c r="STK2" s="14"/>
      <c r="STL2" s="14"/>
      <c r="STM2" s="14"/>
      <c r="STN2" s="14"/>
      <c r="STO2" s="14"/>
      <c r="STP2" s="14"/>
      <c r="STQ2" s="14"/>
      <c r="STR2" s="14"/>
      <c r="STS2" s="14"/>
      <c r="STT2" s="14"/>
      <c r="STU2" s="14"/>
      <c r="STV2" s="14"/>
      <c r="STW2" s="14"/>
      <c r="STX2" s="14"/>
      <c r="STY2" s="14"/>
      <c r="STZ2" s="14"/>
      <c r="SUA2" s="14"/>
      <c r="SUB2" s="14"/>
      <c r="SUC2" s="14"/>
      <c r="SUD2" s="14"/>
      <c r="SUE2" s="14"/>
      <c r="SUF2" s="14"/>
      <c r="SUG2" s="14"/>
      <c r="SUH2" s="14"/>
      <c r="SUI2" s="14"/>
      <c r="SUJ2" s="14"/>
      <c r="SUK2" s="14"/>
      <c r="SUL2" s="14"/>
      <c r="SUM2" s="14"/>
      <c r="SUN2" s="14"/>
      <c r="SUO2" s="14"/>
      <c r="SUP2" s="14"/>
      <c r="SUQ2" s="14"/>
      <c r="SUR2" s="14"/>
      <c r="SUS2" s="14"/>
      <c r="SUT2" s="14"/>
      <c r="SUU2" s="14"/>
      <c r="SUV2" s="14"/>
      <c r="SUW2" s="14"/>
      <c r="SUX2" s="14"/>
      <c r="SUY2" s="14"/>
      <c r="SUZ2" s="14"/>
      <c r="SVA2" s="14"/>
      <c r="SVB2" s="14"/>
      <c r="SVC2" s="14"/>
      <c r="SVD2" s="14"/>
      <c r="SVE2" s="14"/>
      <c r="SVF2" s="14"/>
      <c r="SVG2" s="14"/>
      <c r="SVH2" s="14"/>
      <c r="SVI2" s="14"/>
      <c r="SVJ2" s="14"/>
      <c r="SVK2" s="14"/>
      <c r="SVL2" s="14"/>
      <c r="SVM2" s="14"/>
      <c r="SVN2" s="14"/>
      <c r="SVO2" s="14"/>
      <c r="SVP2" s="14"/>
      <c r="SVQ2" s="14"/>
      <c r="SVR2" s="14"/>
      <c r="SVS2" s="14"/>
      <c r="SVT2" s="14"/>
      <c r="SVU2" s="14"/>
      <c r="SVV2" s="14"/>
      <c r="SVW2" s="14"/>
      <c r="SVX2" s="14"/>
      <c r="SVY2" s="14"/>
      <c r="SVZ2" s="14"/>
      <c r="SWA2" s="14"/>
      <c r="SWB2" s="14"/>
      <c r="SWC2" s="14"/>
      <c r="SWD2" s="14"/>
      <c r="SWE2" s="14"/>
      <c r="SWF2" s="14"/>
      <c r="SWG2" s="14"/>
      <c r="SWH2" s="14"/>
      <c r="SWI2" s="14"/>
      <c r="SWJ2" s="14"/>
      <c r="SWK2" s="14"/>
      <c r="SWL2" s="14"/>
      <c r="SWM2" s="14"/>
      <c r="SWN2" s="14"/>
      <c r="SWO2" s="14"/>
      <c r="SWP2" s="14"/>
      <c r="SWQ2" s="14"/>
      <c r="SWR2" s="14"/>
      <c r="SWS2" s="14"/>
      <c r="SWT2" s="14"/>
      <c r="SWU2" s="14"/>
      <c r="SWV2" s="14"/>
      <c r="SWW2" s="14"/>
      <c r="SWX2" s="14"/>
      <c r="SWY2" s="14"/>
      <c r="SWZ2" s="14"/>
      <c r="SXA2" s="14"/>
      <c r="SXB2" s="14"/>
      <c r="SXC2" s="14"/>
      <c r="SXD2" s="14"/>
      <c r="SXE2" s="14"/>
      <c r="SXF2" s="14"/>
      <c r="SXG2" s="14"/>
      <c r="SXH2" s="14"/>
      <c r="SXI2" s="14"/>
      <c r="SXJ2" s="14"/>
      <c r="SXK2" s="14"/>
      <c r="SXL2" s="14"/>
      <c r="SXM2" s="14"/>
      <c r="SXN2" s="14"/>
      <c r="SXO2" s="14"/>
      <c r="SXP2" s="14"/>
      <c r="SXQ2" s="14"/>
      <c r="SXR2" s="14"/>
      <c r="SXS2" s="14"/>
      <c r="SXT2" s="14"/>
      <c r="SXU2" s="14"/>
      <c r="SXV2" s="14"/>
      <c r="SXW2" s="14"/>
      <c r="SXX2" s="14"/>
      <c r="SXY2" s="14"/>
      <c r="SXZ2" s="14"/>
      <c r="SYA2" s="14"/>
      <c r="SYB2" s="14"/>
      <c r="SYC2" s="14"/>
      <c r="SYD2" s="14"/>
      <c r="SYE2" s="14"/>
      <c r="SYF2" s="14"/>
      <c r="SYG2" s="14"/>
      <c r="SYH2" s="14"/>
      <c r="SYI2" s="14"/>
      <c r="SYJ2" s="14"/>
      <c r="SYK2" s="14"/>
      <c r="SYL2" s="14"/>
      <c r="SYM2" s="14"/>
      <c r="SYN2" s="14"/>
      <c r="SYO2" s="14"/>
      <c r="SYP2" s="14"/>
      <c r="SYQ2" s="14"/>
      <c r="SYR2" s="14"/>
      <c r="SYS2" s="14"/>
      <c r="SYT2" s="14"/>
      <c r="SYU2" s="14"/>
      <c r="SYV2" s="14"/>
      <c r="SYW2" s="14"/>
      <c r="SYX2" s="14"/>
      <c r="SYY2" s="14"/>
      <c r="SYZ2" s="14"/>
      <c r="SZA2" s="14"/>
      <c r="SZB2" s="14"/>
      <c r="SZC2" s="14"/>
      <c r="SZD2" s="14"/>
      <c r="SZE2" s="14"/>
      <c r="SZF2" s="14"/>
      <c r="SZG2" s="14"/>
      <c r="SZH2" s="14"/>
      <c r="SZI2" s="14"/>
      <c r="SZJ2" s="14"/>
      <c r="SZK2" s="14"/>
      <c r="SZL2" s="14"/>
      <c r="SZM2" s="14"/>
      <c r="SZN2" s="14"/>
      <c r="SZO2" s="14"/>
      <c r="SZP2" s="14"/>
      <c r="SZQ2" s="14"/>
      <c r="SZR2" s="14"/>
      <c r="SZS2" s="14"/>
      <c r="SZT2" s="14"/>
      <c r="SZU2" s="14"/>
      <c r="SZV2" s="14"/>
      <c r="SZW2" s="14"/>
      <c r="SZX2" s="14"/>
      <c r="SZY2" s="14"/>
      <c r="SZZ2" s="14"/>
      <c r="TAA2" s="14"/>
      <c r="TAB2" s="14"/>
      <c r="TAC2" s="14"/>
      <c r="TAD2" s="14"/>
      <c r="TAE2" s="14"/>
      <c r="TAF2" s="14"/>
      <c r="TAG2" s="14"/>
      <c r="TAH2" s="14"/>
      <c r="TAI2" s="14"/>
      <c r="TAJ2" s="14"/>
      <c r="TAK2" s="14"/>
      <c r="TAL2" s="14"/>
      <c r="TAM2" s="14"/>
      <c r="TAN2" s="14"/>
      <c r="TAO2" s="14"/>
      <c r="TAP2" s="14"/>
      <c r="TAQ2" s="14"/>
      <c r="TAR2" s="14"/>
      <c r="TAS2" s="14"/>
      <c r="TAT2" s="14"/>
      <c r="TAU2" s="14"/>
      <c r="TAV2" s="14"/>
      <c r="TAW2" s="14"/>
      <c r="TAX2" s="14"/>
      <c r="TAY2" s="14"/>
      <c r="TAZ2" s="14"/>
      <c r="TBA2" s="14"/>
      <c r="TBB2" s="14"/>
      <c r="TBC2" s="14"/>
      <c r="TBD2" s="14"/>
      <c r="TBE2" s="14"/>
      <c r="TBF2" s="14"/>
      <c r="TBG2" s="14"/>
      <c r="TBH2" s="14"/>
      <c r="TBI2" s="14"/>
      <c r="TBJ2" s="14"/>
      <c r="TBK2" s="14"/>
      <c r="TBL2" s="14"/>
      <c r="TBM2" s="14"/>
      <c r="TBN2" s="14"/>
      <c r="TBO2" s="14"/>
      <c r="TBP2" s="14"/>
      <c r="TBQ2" s="14"/>
      <c r="TBR2" s="14"/>
      <c r="TBS2" s="14"/>
      <c r="TBT2" s="14"/>
      <c r="TBU2" s="14"/>
      <c r="TBV2" s="14"/>
      <c r="TBW2" s="14"/>
      <c r="TBX2" s="14"/>
      <c r="TBY2" s="14"/>
      <c r="TBZ2" s="14"/>
      <c r="TCA2" s="14"/>
      <c r="TCB2" s="14"/>
      <c r="TCC2" s="14"/>
      <c r="TCD2" s="14"/>
      <c r="TCE2" s="14"/>
      <c r="TCF2" s="14"/>
      <c r="TCG2" s="14"/>
      <c r="TCH2" s="14"/>
      <c r="TCI2" s="14"/>
      <c r="TCJ2" s="14"/>
      <c r="TCK2" s="14"/>
      <c r="TCL2" s="14"/>
      <c r="TCM2" s="14"/>
      <c r="TCN2" s="14"/>
      <c r="TCO2" s="14"/>
      <c r="TCP2" s="14"/>
      <c r="TCQ2" s="14"/>
      <c r="TCR2" s="14"/>
      <c r="TCS2" s="14"/>
      <c r="TCT2" s="14"/>
      <c r="TCU2" s="14"/>
      <c r="TCV2" s="14"/>
      <c r="TCW2" s="14"/>
      <c r="TCX2" s="14"/>
      <c r="TCY2" s="14"/>
      <c r="TCZ2" s="14"/>
      <c r="TDA2" s="14"/>
      <c r="TDB2" s="14"/>
      <c r="TDC2" s="14"/>
      <c r="TDD2" s="14"/>
      <c r="TDE2" s="14"/>
      <c r="TDF2" s="14"/>
      <c r="TDG2" s="14"/>
      <c r="TDH2" s="14"/>
      <c r="TDI2" s="14"/>
      <c r="TDJ2" s="14"/>
      <c r="TDK2" s="14"/>
      <c r="TDL2" s="14"/>
      <c r="TDM2" s="14"/>
      <c r="TDN2" s="14"/>
      <c r="TDO2" s="14"/>
      <c r="TDP2" s="14"/>
      <c r="TDQ2" s="14"/>
      <c r="TDR2" s="14"/>
      <c r="TDS2" s="14"/>
      <c r="TDT2" s="14"/>
      <c r="TDU2" s="14"/>
      <c r="TDV2" s="14"/>
      <c r="TDW2" s="14"/>
      <c r="TDX2" s="14"/>
      <c r="TDY2" s="14"/>
      <c r="TDZ2" s="14"/>
      <c r="TEA2" s="14"/>
      <c r="TEB2" s="14"/>
      <c r="TEC2" s="14"/>
      <c r="TED2" s="14"/>
      <c r="TEE2" s="14"/>
      <c r="TEF2" s="14"/>
      <c r="TEG2" s="14"/>
      <c r="TEH2" s="14"/>
      <c r="TEI2" s="14"/>
      <c r="TEJ2" s="14"/>
      <c r="TEK2" s="14"/>
      <c r="TEL2" s="14"/>
      <c r="TEM2" s="14"/>
      <c r="TEN2" s="14"/>
      <c r="TEO2" s="14"/>
      <c r="TEP2" s="14"/>
      <c r="TEQ2" s="14"/>
      <c r="TER2" s="14"/>
      <c r="TES2" s="14"/>
      <c r="TET2" s="14"/>
      <c r="TEU2" s="14"/>
      <c r="TEV2" s="14"/>
      <c r="TEW2" s="14"/>
      <c r="TEX2" s="14"/>
      <c r="TEY2" s="14"/>
      <c r="TEZ2" s="14"/>
      <c r="TFA2" s="14"/>
      <c r="TFB2" s="14"/>
      <c r="TFC2" s="14"/>
      <c r="TFD2" s="14"/>
      <c r="TFE2" s="14"/>
      <c r="TFF2" s="14"/>
      <c r="TFG2" s="14"/>
      <c r="TFH2" s="14"/>
      <c r="TFI2" s="14"/>
      <c r="TFJ2" s="14"/>
      <c r="TFK2" s="14"/>
      <c r="TFL2" s="14"/>
      <c r="TFM2" s="14"/>
      <c r="TFN2" s="14"/>
      <c r="TFO2" s="14"/>
      <c r="TFP2" s="14"/>
      <c r="TFQ2" s="14"/>
      <c r="TFR2" s="14"/>
      <c r="TFS2" s="14"/>
      <c r="TFT2" s="14"/>
      <c r="TFU2" s="14"/>
      <c r="TFV2" s="14"/>
      <c r="TFW2" s="14"/>
      <c r="TFX2" s="14"/>
      <c r="TFY2" s="14"/>
      <c r="TFZ2" s="14"/>
      <c r="TGA2" s="14"/>
      <c r="TGB2" s="14"/>
      <c r="TGC2" s="14"/>
      <c r="TGD2" s="14"/>
      <c r="TGE2" s="14"/>
      <c r="TGF2" s="14"/>
      <c r="TGG2" s="14"/>
      <c r="TGH2" s="14"/>
      <c r="TGI2" s="14"/>
      <c r="TGJ2" s="14"/>
      <c r="TGK2" s="14"/>
      <c r="TGL2" s="14"/>
      <c r="TGM2" s="14"/>
      <c r="TGN2" s="14"/>
      <c r="TGO2" s="14"/>
      <c r="TGP2" s="14"/>
      <c r="TGQ2" s="14"/>
      <c r="TGR2" s="14"/>
      <c r="TGS2" s="14"/>
      <c r="TGT2" s="14"/>
      <c r="TGU2" s="14"/>
      <c r="TGV2" s="14"/>
      <c r="TGW2" s="14"/>
      <c r="TGX2" s="14"/>
      <c r="TGY2" s="14"/>
      <c r="TGZ2" s="14"/>
      <c r="THA2" s="14"/>
      <c r="THB2" s="14"/>
      <c r="THC2" s="14"/>
      <c r="THD2" s="14"/>
      <c r="THE2" s="14"/>
      <c r="THF2" s="14"/>
      <c r="THG2" s="14"/>
      <c r="THH2" s="14"/>
      <c r="THI2" s="14"/>
      <c r="THJ2" s="14"/>
      <c r="THK2" s="14"/>
      <c r="THL2" s="14"/>
      <c r="THM2" s="14"/>
      <c r="THN2" s="14"/>
      <c r="THO2" s="14"/>
      <c r="THP2" s="14"/>
      <c r="THQ2" s="14"/>
      <c r="THR2" s="14"/>
      <c r="THS2" s="14"/>
      <c r="THT2" s="14"/>
      <c r="THU2" s="14"/>
      <c r="THV2" s="14"/>
      <c r="THW2" s="14"/>
      <c r="THX2" s="14"/>
      <c r="THY2" s="14"/>
      <c r="THZ2" s="14"/>
      <c r="TIA2" s="14"/>
      <c r="TIB2" s="14"/>
      <c r="TIC2" s="14"/>
      <c r="TID2" s="14"/>
      <c r="TIE2" s="14"/>
      <c r="TIF2" s="14"/>
      <c r="TIG2" s="14"/>
      <c r="TIH2" s="14"/>
      <c r="TII2" s="14"/>
      <c r="TIJ2" s="14"/>
      <c r="TIK2" s="14"/>
      <c r="TIL2" s="14"/>
      <c r="TIM2" s="14"/>
      <c r="TIN2" s="14"/>
      <c r="TIO2" s="14"/>
      <c r="TIP2" s="14"/>
      <c r="TIQ2" s="14"/>
      <c r="TIR2" s="14"/>
      <c r="TIS2" s="14"/>
      <c r="TIT2" s="14"/>
      <c r="TIU2" s="14"/>
      <c r="TIV2" s="14"/>
      <c r="TIW2" s="14"/>
      <c r="TIX2" s="14"/>
      <c r="TIY2" s="14"/>
      <c r="TIZ2" s="14"/>
      <c r="TJA2" s="14"/>
      <c r="TJB2" s="14"/>
      <c r="TJC2" s="14"/>
      <c r="TJD2" s="14"/>
      <c r="TJE2" s="14"/>
      <c r="TJF2" s="14"/>
      <c r="TJG2" s="14"/>
      <c r="TJH2" s="14"/>
      <c r="TJI2" s="14"/>
      <c r="TJJ2" s="14"/>
      <c r="TJK2" s="14"/>
      <c r="TJL2" s="14"/>
      <c r="TJM2" s="14"/>
      <c r="TJN2" s="14"/>
      <c r="TJO2" s="14"/>
      <c r="TJP2" s="14"/>
      <c r="TJQ2" s="14"/>
      <c r="TJR2" s="14"/>
      <c r="TJS2" s="14"/>
      <c r="TJT2" s="14"/>
      <c r="TJU2" s="14"/>
      <c r="TJV2" s="14"/>
      <c r="TJW2" s="14"/>
      <c r="TJX2" s="14"/>
      <c r="TJY2" s="14"/>
      <c r="TJZ2" s="14"/>
      <c r="TKA2" s="14"/>
      <c r="TKB2" s="14"/>
      <c r="TKC2" s="14"/>
      <c r="TKD2" s="14"/>
      <c r="TKE2" s="14"/>
      <c r="TKF2" s="14"/>
      <c r="TKG2" s="14"/>
      <c r="TKH2" s="14"/>
      <c r="TKI2" s="14"/>
      <c r="TKJ2" s="14"/>
      <c r="TKK2" s="14"/>
      <c r="TKL2" s="14"/>
      <c r="TKM2" s="14"/>
      <c r="TKN2" s="14"/>
      <c r="TKO2" s="14"/>
      <c r="TKP2" s="14"/>
      <c r="TKQ2" s="14"/>
      <c r="TKR2" s="14"/>
      <c r="TKS2" s="14"/>
      <c r="TKT2" s="14"/>
      <c r="TKU2" s="14"/>
      <c r="TKV2" s="14"/>
      <c r="TKW2" s="14"/>
      <c r="TKX2" s="14"/>
      <c r="TKY2" s="14"/>
      <c r="TKZ2" s="14"/>
      <c r="TLA2" s="14"/>
      <c r="TLB2" s="14"/>
      <c r="TLC2" s="14"/>
      <c r="TLD2" s="14"/>
      <c r="TLE2" s="14"/>
      <c r="TLF2" s="14"/>
      <c r="TLG2" s="14"/>
      <c r="TLH2" s="14"/>
      <c r="TLI2" s="14"/>
      <c r="TLJ2" s="14"/>
      <c r="TLK2" s="14"/>
      <c r="TLL2" s="14"/>
      <c r="TLM2" s="14"/>
      <c r="TLN2" s="14"/>
      <c r="TLO2" s="14"/>
      <c r="TLP2" s="14"/>
      <c r="TLQ2" s="14"/>
      <c r="TLR2" s="14"/>
      <c r="TLS2" s="14"/>
      <c r="TLT2" s="14"/>
      <c r="TLU2" s="14"/>
      <c r="TLV2" s="14"/>
      <c r="TLW2" s="14"/>
      <c r="TLX2" s="14"/>
      <c r="TLY2" s="14"/>
      <c r="TLZ2" s="14"/>
      <c r="TMA2" s="14"/>
      <c r="TMB2" s="14"/>
      <c r="TMC2" s="14"/>
      <c r="TMD2" s="14"/>
      <c r="TME2" s="14"/>
      <c r="TMF2" s="14"/>
      <c r="TMG2" s="14"/>
      <c r="TMH2" s="14"/>
      <c r="TMI2" s="14"/>
      <c r="TMJ2" s="14"/>
      <c r="TMK2" s="14"/>
      <c r="TML2" s="14"/>
      <c r="TMM2" s="14"/>
      <c r="TMN2" s="14"/>
      <c r="TMO2" s="14"/>
      <c r="TMP2" s="14"/>
      <c r="TMQ2" s="14"/>
      <c r="TMR2" s="14"/>
      <c r="TMS2" s="14"/>
      <c r="TMT2" s="14"/>
      <c r="TMU2" s="14"/>
      <c r="TMV2" s="14"/>
      <c r="TMW2" s="14"/>
      <c r="TMX2" s="14"/>
      <c r="TMY2" s="14"/>
      <c r="TMZ2" s="14"/>
      <c r="TNA2" s="14"/>
      <c r="TNB2" s="14"/>
      <c r="TNC2" s="14"/>
      <c r="TND2" s="14"/>
      <c r="TNE2" s="14"/>
      <c r="TNF2" s="14"/>
      <c r="TNG2" s="14"/>
      <c r="TNH2" s="14"/>
      <c r="TNI2" s="14"/>
      <c r="TNJ2" s="14"/>
      <c r="TNK2" s="14"/>
      <c r="TNL2" s="14"/>
      <c r="TNM2" s="14"/>
      <c r="TNN2" s="14"/>
      <c r="TNO2" s="14"/>
      <c r="TNP2" s="14"/>
      <c r="TNQ2" s="14"/>
      <c r="TNR2" s="14"/>
      <c r="TNS2" s="14"/>
      <c r="TNT2" s="14"/>
      <c r="TNU2" s="14"/>
      <c r="TNV2" s="14"/>
      <c r="TNW2" s="14"/>
      <c r="TNX2" s="14"/>
      <c r="TNY2" s="14"/>
      <c r="TNZ2" s="14"/>
      <c r="TOA2" s="14"/>
      <c r="TOB2" s="14"/>
      <c r="TOC2" s="14"/>
      <c r="TOD2" s="14"/>
      <c r="TOE2" s="14"/>
      <c r="TOF2" s="14"/>
      <c r="TOG2" s="14"/>
      <c r="TOH2" s="14"/>
      <c r="TOI2" s="14"/>
      <c r="TOJ2" s="14"/>
      <c r="TOK2" s="14"/>
      <c r="TOL2" s="14"/>
      <c r="TOM2" s="14"/>
      <c r="TON2" s="14"/>
      <c r="TOO2" s="14"/>
      <c r="TOP2" s="14"/>
      <c r="TOQ2" s="14"/>
      <c r="TOR2" s="14"/>
      <c r="TOS2" s="14"/>
      <c r="TOT2" s="14"/>
      <c r="TOU2" s="14"/>
      <c r="TOV2" s="14"/>
      <c r="TOW2" s="14"/>
      <c r="TOX2" s="14"/>
      <c r="TOY2" s="14"/>
      <c r="TOZ2" s="14"/>
      <c r="TPA2" s="14"/>
      <c r="TPB2" s="14"/>
      <c r="TPC2" s="14"/>
      <c r="TPD2" s="14"/>
      <c r="TPE2" s="14"/>
      <c r="TPF2" s="14"/>
      <c r="TPG2" s="14"/>
      <c r="TPH2" s="14"/>
      <c r="TPI2" s="14"/>
      <c r="TPJ2" s="14"/>
      <c r="TPK2" s="14"/>
      <c r="TPL2" s="14"/>
      <c r="TPM2" s="14"/>
      <c r="TPN2" s="14"/>
      <c r="TPO2" s="14"/>
      <c r="TPP2" s="14"/>
      <c r="TPQ2" s="14"/>
      <c r="TPR2" s="14"/>
      <c r="TPS2" s="14"/>
      <c r="TPT2" s="14"/>
      <c r="TPU2" s="14"/>
      <c r="TPV2" s="14"/>
      <c r="TPW2" s="14"/>
      <c r="TPX2" s="14"/>
      <c r="TPY2" s="14"/>
      <c r="TPZ2" s="14"/>
      <c r="TQA2" s="14"/>
      <c r="TQB2" s="14"/>
      <c r="TQC2" s="14"/>
      <c r="TQD2" s="14"/>
      <c r="TQE2" s="14"/>
      <c r="TQF2" s="14"/>
      <c r="TQG2" s="14"/>
      <c r="TQH2" s="14"/>
      <c r="TQI2" s="14"/>
      <c r="TQJ2" s="14"/>
      <c r="TQK2" s="14"/>
      <c r="TQL2" s="14"/>
      <c r="TQM2" s="14"/>
      <c r="TQN2" s="14"/>
      <c r="TQO2" s="14"/>
      <c r="TQP2" s="14"/>
      <c r="TQQ2" s="14"/>
      <c r="TQR2" s="14"/>
      <c r="TQS2" s="14"/>
      <c r="TQT2" s="14"/>
      <c r="TQU2" s="14"/>
      <c r="TQV2" s="14"/>
      <c r="TQW2" s="14"/>
      <c r="TQX2" s="14"/>
      <c r="TQY2" s="14"/>
      <c r="TQZ2" s="14"/>
      <c r="TRA2" s="14"/>
      <c r="TRB2" s="14"/>
      <c r="TRC2" s="14"/>
      <c r="TRD2" s="14"/>
      <c r="TRE2" s="14"/>
      <c r="TRF2" s="14"/>
      <c r="TRG2" s="14"/>
      <c r="TRH2" s="14"/>
      <c r="TRI2" s="14"/>
      <c r="TRJ2" s="14"/>
      <c r="TRK2" s="14"/>
      <c r="TRL2" s="14"/>
      <c r="TRM2" s="14"/>
      <c r="TRN2" s="14"/>
      <c r="TRO2" s="14"/>
      <c r="TRP2" s="14"/>
      <c r="TRQ2" s="14"/>
      <c r="TRR2" s="14"/>
      <c r="TRS2" s="14"/>
      <c r="TRT2" s="14"/>
      <c r="TRU2" s="14"/>
      <c r="TRV2" s="14"/>
      <c r="TRW2" s="14"/>
      <c r="TRX2" s="14"/>
      <c r="TRY2" s="14"/>
      <c r="TRZ2" s="14"/>
      <c r="TSA2" s="14"/>
      <c r="TSB2" s="14"/>
      <c r="TSC2" s="14"/>
      <c r="TSD2" s="14"/>
      <c r="TSE2" s="14"/>
      <c r="TSF2" s="14"/>
      <c r="TSG2" s="14"/>
      <c r="TSH2" s="14"/>
      <c r="TSI2" s="14"/>
      <c r="TSJ2" s="14"/>
      <c r="TSK2" s="14"/>
      <c r="TSL2" s="14"/>
      <c r="TSM2" s="14"/>
      <c r="TSN2" s="14"/>
      <c r="TSO2" s="14"/>
      <c r="TSP2" s="14"/>
      <c r="TSQ2" s="14"/>
      <c r="TSR2" s="14"/>
      <c r="TSS2" s="14"/>
      <c r="TST2" s="14"/>
      <c r="TSU2" s="14"/>
      <c r="TSV2" s="14"/>
      <c r="TSW2" s="14"/>
      <c r="TSX2" s="14"/>
      <c r="TSY2" s="14"/>
      <c r="TSZ2" s="14"/>
      <c r="TTA2" s="14"/>
      <c r="TTB2" s="14"/>
      <c r="TTC2" s="14"/>
      <c r="TTD2" s="14"/>
      <c r="TTE2" s="14"/>
      <c r="TTF2" s="14"/>
      <c r="TTG2" s="14"/>
      <c r="TTH2" s="14"/>
      <c r="TTI2" s="14"/>
      <c r="TTJ2" s="14"/>
      <c r="TTK2" s="14"/>
      <c r="TTL2" s="14"/>
      <c r="TTM2" s="14"/>
      <c r="TTN2" s="14"/>
      <c r="TTO2" s="14"/>
      <c r="TTP2" s="14"/>
      <c r="TTQ2" s="14"/>
      <c r="TTR2" s="14"/>
      <c r="TTS2" s="14"/>
      <c r="TTT2" s="14"/>
      <c r="TTU2" s="14"/>
      <c r="TTV2" s="14"/>
      <c r="TTW2" s="14"/>
      <c r="TTX2" s="14"/>
      <c r="TTY2" s="14"/>
      <c r="TTZ2" s="14"/>
      <c r="TUA2" s="14"/>
      <c r="TUB2" s="14"/>
      <c r="TUC2" s="14"/>
      <c r="TUD2" s="14"/>
      <c r="TUE2" s="14"/>
      <c r="TUF2" s="14"/>
      <c r="TUG2" s="14"/>
      <c r="TUH2" s="14"/>
      <c r="TUI2" s="14"/>
      <c r="TUJ2" s="14"/>
      <c r="TUK2" s="14"/>
      <c r="TUL2" s="14"/>
      <c r="TUM2" s="14"/>
      <c r="TUN2" s="14"/>
      <c r="TUO2" s="14"/>
      <c r="TUP2" s="14"/>
      <c r="TUQ2" s="14"/>
      <c r="TUR2" s="14"/>
      <c r="TUS2" s="14"/>
      <c r="TUT2" s="14"/>
      <c r="TUU2" s="14"/>
      <c r="TUV2" s="14"/>
      <c r="TUW2" s="14"/>
      <c r="TUX2" s="14"/>
      <c r="TUY2" s="14"/>
      <c r="TUZ2" s="14"/>
      <c r="TVA2" s="14"/>
      <c r="TVB2" s="14"/>
      <c r="TVC2" s="14"/>
      <c r="TVD2" s="14"/>
      <c r="TVE2" s="14"/>
      <c r="TVF2" s="14"/>
      <c r="TVG2" s="14"/>
      <c r="TVH2" s="14"/>
      <c r="TVI2" s="14"/>
      <c r="TVJ2" s="14"/>
      <c r="TVK2" s="14"/>
      <c r="TVL2" s="14"/>
      <c r="TVM2" s="14"/>
      <c r="TVN2" s="14"/>
      <c r="TVO2" s="14"/>
      <c r="TVP2" s="14"/>
      <c r="TVQ2" s="14"/>
      <c r="TVR2" s="14"/>
      <c r="TVS2" s="14"/>
      <c r="TVT2" s="14"/>
      <c r="TVU2" s="14"/>
      <c r="TVV2" s="14"/>
      <c r="TVW2" s="14"/>
      <c r="TVX2" s="14"/>
      <c r="TVY2" s="14"/>
      <c r="TVZ2" s="14"/>
      <c r="TWA2" s="14"/>
      <c r="TWB2" s="14"/>
      <c r="TWC2" s="14"/>
      <c r="TWD2" s="14"/>
      <c r="TWE2" s="14"/>
      <c r="TWF2" s="14"/>
      <c r="TWG2" s="14"/>
      <c r="TWH2" s="14"/>
      <c r="TWI2" s="14"/>
      <c r="TWJ2" s="14"/>
      <c r="TWK2" s="14"/>
      <c r="TWL2" s="14"/>
      <c r="TWM2" s="14"/>
      <c r="TWN2" s="14"/>
      <c r="TWO2" s="14"/>
      <c r="TWP2" s="14"/>
      <c r="TWQ2" s="14"/>
      <c r="TWR2" s="14"/>
      <c r="TWS2" s="14"/>
      <c r="TWT2" s="14"/>
      <c r="TWU2" s="14"/>
      <c r="TWV2" s="14"/>
      <c r="TWW2" s="14"/>
      <c r="TWX2" s="14"/>
      <c r="TWY2" s="14"/>
      <c r="TWZ2" s="14"/>
      <c r="TXA2" s="14"/>
      <c r="TXB2" s="14"/>
      <c r="TXC2" s="14"/>
      <c r="TXD2" s="14"/>
      <c r="TXE2" s="14"/>
      <c r="TXF2" s="14"/>
      <c r="TXG2" s="14"/>
      <c r="TXH2" s="14"/>
      <c r="TXI2" s="14"/>
      <c r="TXJ2" s="14"/>
      <c r="TXK2" s="14"/>
      <c r="TXL2" s="14"/>
      <c r="TXM2" s="14"/>
      <c r="TXN2" s="14"/>
      <c r="TXO2" s="14"/>
      <c r="TXP2" s="14"/>
      <c r="TXQ2" s="14"/>
      <c r="TXR2" s="14"/>
      <c r="TXS2" s="14"/>
      <c r="TXT2" s="14"/>
      <c r="TXU2" s="14"/>
      <c r="TXV2" s="14"/>
      <c r="TXW2" s="14"/>
      <c r="TXX2" s="14"/>
      <c r="TXY2" s="14"/>
      <c r="TXZ2" s="14"/>
      <c r="TYA2" s="14"/>
      <c r="TYB2" s="14"/>
      <c r="TYC2" s="14"/>
      <c r="TYD2" s="14"/>
      <c r="TYE2" s="14"/>
      <c r="TYF2" s="14"/>
      <c r="TYG2" s="14"/>
      <c r="TYH2" s="14"/>
      <c r="TYI2" s="14"/>
      <c r="TYJ2" s="14"/>
      <c r="TYK2" s="14"/>
      <c r="TYL2" s="14"/>
      <c r="TYM2" s="14"/>
      <c r="TYN2" s="14"/>
      <c r="TYO2" s="14"/>
      <c r="TYP2" s="14"/>
      <c r="TYQ2" s="14"/>
      <c r="TYR2" s="14"/>
      <c r="TYS2" s="14"/>
      <c r="TYT2" s="14"/>
      <c r="TYU2" s="14"/>
      <c r="TYV2" s="14"/>
      <c r="TYW2" s="14"/>
      <c r="TYX2" s="14"/>
      <c r="TYY2" s="14"/>
      <c r="TYZ2" s="14"/>
      <c r="TZA2" s="14"/>
      <c r="TZB2" s="14"/>
      <c r="TZC2" s="14"/>
      <c r="TZD2" s="14"/>
      <c r="TZE2" s="14"/>
      <c r="TZF2" s="14"/>
      <c r="TZG2" s="14"/>
      <c r="TZH2" s="14"/>
      <c r="TZI2" s="14"/>
      <c r="TZJ2" s="14"/>
      <c r="TZK2" s="14"/>
      <c r="TZL2" s="14"/>
      <c r="TZM2" s="14"/>
      <c r="TZN2" s="14"/>
      <c r="TZO2" s="14"/>
      <c r="TZP2" s="14"/>
      <c r="TZQ2" s="14"/>
      <c r="TZR2" s="14"/>
      <c r="TZS2" s="14"/>
      <c r="TZT2" s="14"/>
      <c r="TZU2" s="14"/>
      <c r="TZV2" s="14"/>
      <c r="TZW2" s="14"/>
      <c r="TZX2" s="14"/>
      <c r="TZY2" s="14"/>
      <c r="TZZ2" s="14"/>
      <c r="UAA2" s="14"/>
      <c r="UAB2" s="14"/>
      <c r="UAC2" s="14"/>
      <c r="UAD2" s="14"/>
      <c r="UAE2" s="14"/>
      <c r="UAF2" s="14"/>
      <c r="UAG2" s="14"/>
      <c r="UAH2" s="14"/>
      <c r="UAI2" s="14"/>
      <c r="UAJ2" s="14"/>
      <c r="UAK2" s="14"/>
      <c r="UAL2" s="14"/>
      <c r="UAM2" s="14"/>
      <c r="UAN2" s="14"/>
      <c r="UAO2" s="14"/>
      <c r="UAP2" s="14"/>
      <c r="UAQ2" s="14"/>
      <c r="UAR2" s="14"/>
      <c r="UAS2" s="14"/>
      <c r="UAT2" s="14"/>
      <c r="UAU2" s="14"/>
      <c r="UAV2" s="14"/>
      <c r="UAW2" s="14"/>
      <c r="UAX2" s="14"/>
      <c r="UAY2" s="14"/>
      <c r="UAZ2" s="14"/>
      <c r="UBA2" s="14"/>
      <c r="UBB2" s="14"/>
      <c r="UBC2" s="14"/>
      <c r="UBD2" s="14"/>
      <c r="UBE2" s="14"/>
      <c r="UBF2" s="14"/>
      <c r="UBG2" s="14"/>
      <c r="UBH2" s="14"/>
      <c r="UBI2" s="14"/>
      <c r="UBJ2" s="14"/>
      <c r="UBK2" s="14"/>
      <c r="UBL2" s="14"/>
      <c r="UBM2" s="14"/>
      <c r="UBN2" s="14"/>
      <c r="UBO2" s="14"/>
      <c r="UBP2" s="14"/>
      <c r="UBQ2" s="14"/>
      <c r="UBR2" s="14"/>
      <c r="UBS2" s="14"/>
      <c r="UBT2" s="14"/>
      <c r="UBU2" s="14"/>
      <c r="UBV2" s="14"/>
      <c r="UBW2" s="14"/>
      <c r="UBX2" s="14"/>
      <c r="UBY2" s="14"/>
      <c r="UBZ2" s="14"/>
      <c r="UCA2" s="14"/>
      <c r="UCB2" s="14"/>
      <c r="UCC2" s="14"/>
      <c r="UCD2" s="14"/>
      <c r="UCE2" s="14"/>
      <c r="UCF2" s="14"/>
      <c r="UCG2" s="14"/>
      <c r="UCH2" s="14"/>
      <c r="UCI2" s="14"/>
      <c r="UCJ2" s="14"/>
      <c r="UCK2" s="14"/>
      <c r="UCL2" s="14"/>
      <c r="UCM2" s="14"/>
      <c r="UCN2" s="14"/>
      <c r="UCO2" s="14"/>
      <c r="UCP2" s="14"/>
      <c r="UCQ2" s="14"/>
      <c r="UCR2" s="14"/>
      <c r="UCS2" s="14"/>
      <c r="UCT2" s="14"/>
      <c r="UCU2" s="14"/>
      <c r="UCV2" s="14"/>
      <c r="UCW2" s="14"/>
      <c r="UCX2" s="14"/>
      <c r="UCY2" s="14"/>
      <c r="UCZ2" s="14"/>
      <c r="UDA2" s="14"/>
      <c r="UDB2" s="14"/>
      <c r="UDC2" s="14"/>
      <c r="UDD2" s="14"/>
      <c r="UDE2" s="14"/>
      <c r="UDF2" s="14"/>
      <c r="UDG2" s="14"/>
      <c r="UDH2" s="14"/>
      <c r="UDI2" s="14"/>
      <c r="UDJ2" s="14"/>
      <c r="UDK2" s="14"/>
      <c r="UDL2" s="14"/>
      <c r="UDM2" s="14"/>
      <c r="UDN2" s="14"/>
      <c r="UDO2" s="14"/>
      <c r="UDP2" s="14"/>
      <c r="UDQ2" s="14"/>
      <c r="UDR2" s="14"/>
      <c r="UDS2" s="14"/>
      <c r="UDT2" s="14"/>
      <c r="UDU2" s="14"/>
      <c r="UDV2" s="14"/>
      <c r="UDW2" s="14"/>
      <c r="UDX2" s="14"/>
      <c r="UDY2" s="14"/>
      <c r="UDZ2" s="14"/>
      <c r="UEA2" s="14"/>
      <c r="UEB2" s="14"/>
      <c r="UEC2" s="14"/>
      <c r="UED2" s="14"/>
      <c r="UEE2" s="14"/>
      <c r="UEF2" s="14"/>
      <c r="UEG2" s="14"/>
      <c r="UEH2" s="14"/>
      <c r="UEI2" s="14"/>
      <c r="UEJ2" s="14"/>
      <c r="UEK2" s="14"/>
      <c r="UEL2" s="14"/>
      <c r="UEM2" s="14"/>
      <c r="UEN2" s="14"/>
      <c r="UEO2" s="14"/>
      <c r="UEP2" s="14"/>
      <c r="UEQ2" s="14"/>
      <c r="UER2" s="14"/>
      <c r="UES2" s="14"/>
      <c r="UET2" s="14"/>
      <c r="UEU2" s="14"/>
      <c r="UEV2" s="14"/>
      <c r="UEW2" s="14"/>
      <c r="UEX2" s="14"/>
      <c r="UEY2" s="14"/>
      <c r="UEZ2" s="14"/>
      <c r="UFA2" s="14"/>
      <c r="UFB2" s="14"/>
      <c r="UFC2" s="14"/>
      <c r="UFD2" s="14"/>
      <c r="UFE2" s="14"/>
      <c r="UFF2" s="14"/>
      <c r="UFG2" s="14"/>
      <c r="UFH2" s="14"/>
      <c r="UFI2" s="14"/>
      <c r="UFJ2" s="14"/>
      <c r="UFK2" s="14"/>
      <c r="UFL2" s="14"/>
      <c r="UFM2" s="14"/>
      <c r="UFN2" s="14"/>
      <c r="UFO2" s="14"/>
      <c r="UFP2" s="14"/>
      <c r="UFQ2" s="14"/>
      <c r="UFR2" s="14"/>
      <c r="UFS2" s="14"/>
      <c r="UFT2" s="14"/>
      <c r="UFU2" s="14"/>
      <c r="UFV2" s="14"/>
      <c r="UFW2" s="14"/>
      <c r="UFX2" s="14"/>
      <c r="UFY2" s="14"/>
      <c r="UFZ2" s="14"/>
      <c r="UGA2" s="14"/>
      <c r="UGB2" s="14"/>
      <c r="UGC2" s="14"/>
      <c r="UGD2" s="14"/>
      <c r="UGE2" s="14"/>
      <c r="UGF2" s="14"/>
      <c r="UGG2" s="14"/>
      <c r="UGH2" s="14"/>
      <c r="UGI2" s="14"/>
      <c r="UGJ2" s="14"/>
      <c r="UGK2" s="14"/>
      <c r="UGL2" s="14"/>
      <c r="UGM2" s="14"/>
      <c r="UGN2" s="14"/>
      <c r="UGO2" s="14"/>
      <c r="UGP2" s="14"/>
      <c r="UGQ2" s="14"/>
      <c r="UGR2" s="14"/>
      <c r="UGS2" s="14"/>
      <c r="UGT2" s="14"/>
      <c r="UGU2" s="14"/>
      <c r="UGV2" s="14"/>
      <c r="UGW2" s="14"/>
      <c r="UGX2" s="14"/>
      <c r="UGY2" s="14"/>
      <c r="UGZ2" s="14"/>
      <c r="UHA2" s="14"/>
      <c r="UHB2" s="14"/>
      <c r="UHC2" s="14"/>
      <c r="UHD2" s="14"/>
      <c r="UHE2" s="14"/>
      <c r="UHF2" s="14"/>
      <c r="UHG2" s="14"/>
      <c r="UHH2" s="14"/>
      <c r="UHI2" s="14"/>
      <c r="UHJ2" s="14"/>
      <c r="UHK2" s="14"/>
      <c r="UHL2" s="14"/>
      <c r="UHM2" s="14"/>
      <c r="UHN2" s="14"/>
      <c r="UHO2" s="14"/>
      <c r="UHP2" s="14"/>
      <c r="UHQ2" s="14"/>
      <c r="UHR2" s="14"/>
      <c r="UHS2" s="14"/>
      <c r="UHT2" s="14"/>
      <c r="UHU2" s="14"/>
      <c r="UHV2" s="14"/>
      <c r="UHW2" s="14"/>
      <c r="UHX2" s="14"/>
      <c r="UHY2" s="14"/>
      <c r="UHZ2" s="14"/>
      <c r="UIA2" s="14"/>
      <c r="UIB2" s="14"/>
      <c r="UIC2" s="14"/>
      <c r="UID2" s="14"/>
      <c r="UIE2" s="14"/>
      <c r="UIF2" s="14"/>
      <c r="UIG2" s="14"/>
      <c r="UIH2" s="14"/>
      <c r="UII2" s="14"/>
      <c r="UIJ2" s="14"/>
      <c r="UIK2" s="14"/>
      <c r="UIL2" s="14"/>
      <c r="UIM2" s="14"/>
      <c r="UIN2" s="14"/>
      <c r="UIO2" s="14"/>
      <c r="UIP2" s="14"/>
      <c r="UIQ2" s="14"/>
      <c r="UIR2" s="14"/>
      <c r="UIS2" s="14"/>
      <c r="UIT2" s="14"/>
      <c r="UIU2" s="14"/>
      <c r="UIV2" s="14"/>
      <c r="UIW2" s="14"/>
      <c r="UIX2" s="14"/>
      <c r="UIY2" s="14"/>
      <c r="UIZ2" s="14"/>
      <c r="UJA2" s="14"/>
      <c r="UJB2" s="14"/>
      <c r="UJC2" s="14"/>
      <c r="UJD2" s="14"/>
      <c r="UJE2" s="14"/>
      <c r="UJF2" s="14"/>
      <c r="UJG2" s="14"/>
      <c r="UJH2" s="14"/>
      <c r="UJI2" s="14"/>
      <c r="UJJ2" s="14"/>
      <c r="UJK2" s="14"/>
      <c r="UJL2" s="14"/>
      <c r="UJM2" s="14"/>
      <c r="UJN2" s="14"/>
      <c r="UJO2" s="14"/>
      <c r="UJP2" s="14"/>
      <c r="UJQ2" s="14"/>
      <c r="UJR2" s="14"/>
      <c r="UJS2" s="14"/>
      <c r="UJT2" s="14"/>
      <c r="UJU2" s="14"/>
      <c r="UJV2" s="14"/>
      <c r="UJW2" s="14"/>
      <c r="UJX2" s="14"/>
      <c r="UJY2" s="14"/>
      <c r="UJZ2" s="14"/>
      <c r="UKA2" s="14"/>
      <c r="UKB2" s="14"/>
      <c r="UKC2" s="14"/>
      <c r="UKD2" s="14"/>
      <c r="UKE2" s="14"/>
      <c r="UKF2" s="14"/>
      <c r="UKG2" s="14"/>
      <c r="UKH2" s="14"/>
      <c r="UKI2" s="14"/>
      <c r="UKJ2" s="14"/>
      <c r="UKK2" s="14"/>
      <c r="UKL2" s="14"/>
      <c r="UKM2" s="14"/>
      <c r="UKN2" s="14"/>
      <c r="UKO2" s="14"/>
      <c r="UKP2" s="14"/>
      <c r="UKQ2" s="14"/>
      <c r="UKR2" s="14"/>
      <c r="UKS2" s="14"/>
      <c r="UKT2" s="14"/>
      <c r="UKU2" s="14"/>
      <c r="UKV2" s="14"/>
      <c r="UKW2" s="14"/>
      <c r="UKX2" s="14"/>
      <c r="UKY2" s="14"/>
      <c r="UKZ2" s="14"/>
      <c r="ULA2" s="14"/>
      <c r="ULB2" s="14"/>
      <c r="ULC2" s="14"/>
      <c r="ULD2" s="14"/>
      <c r="ULE2" s="14"/>
      <c r="ULF2" s="14"/>
      <c r="ULG2" s="14"/>
      <c r="ULH2" s="14"/>
      <c r="ULI2" s="14"/>
      <c r="ULJ2" s="14"/>
      <c r="ULK2" s="14"/>
      <c r="ULL2" s="14"/>
      <c r="ULM2" s="14"/>
      <c r="ULN2" s="14"/>
      <c r="ULO2" s="14"/>
      <c r="ULP2" s="14"/>
      <c r="ULQ2" s="14"/>
      <c r="ULR2" s="14"/>
      <c r="ULS2" s="14"/>
      <c r="ULT2" s="14"/>
      <c r="ULU2" s="14"/>
      <c r="ULV2" s="14"/>
      <c r="ULW2" s="14"/>
      <c r="ULX2" s="14"/>
      <c r="ULY2" s="14"/>
      <c r="ULZ2" s="14"/>
      <c r="UMA2" s="14"/>
      <c r="UMB2" s="14"/>
      <c r="UMC2" s="14"/>
      <c r="UMD2" s="14"/>
      <c r="UME2" s="14"/>
      <c r="UMF2" s="14"/>
      <c r="UMG2" s="14"/>
      <c r="UMH2" s="14"/>
      <c r="UMI2" s="14"/>
      <c r="UMJ2" s="14"/>
      <c r="UMK2" s="14"/>
      <c r="UML2" s="14"/>
      <c r="UMM2" s="14"/>
      <c r="UMN2" s="14"/>
      <c r="UMO2" s="14"/>
      <c r="UMP2" s="14"/>
      <c r="UMQ2" s="14"/>
      <c r="UMR2" s="14"/>
      <c r="UMS2" s="14"/>
      <c r="UMT2" s="14"/>
      <c r="UMU2" s="14"/>
      <c r="UMV2" s="14"/>
      <c r="UMW2" s="14"/>
      <c r="UMX2" s="14"/>
      <c r="UMY2" s="14"/>
      <c r="UMZ2" s="14"/>
      <c r="UNA2" s="14"/>
      <c r="UNB2" s="14"/>
      <c r="UNC2" s="14"/>
      <c r="UND2" s="14"/>
      <c r="UNE2" s="14"/>
      <c r="UNF2" s="14"/>
      <c r="UNG2" s="14"/>
      <c r="UNH2" s="14"/>
      <c r="UNI2" s="14"/>
      <c r="UNJ2" s="14"/>
      <c r="UNK2" s="14"/>
      <c r="UNL2" s="14"/>
      <c r="UNM2" s="14"/>
      <c r="UNN2" s="14"/>
      <c r="UNO2" s="14"/>
      <c r="UNP2" s="14"/>
      <c r="UNQ2" s="14"/>
      <c r="UNR2" s="14"/>
      <c r="UNS2" s="14"/>
      <c r="UNT2" s="14"/>
      <c r="UNU2" s="14"/>
      <c r="UNV2" s="14"/>
      <c r="UNW2" s="14"/>
      <c r="UNX2" s="14"/>
      <c r="UNY2" s="14"/>
      <c r="UNZ2" s="14"/>
      <c r="UOA2" s="14"/>
      <c r="UOB2" s="14"/>
      <c r="UOC2" s="14"/>
      <c r="UOD2" s="14"/>
      <c r="UOE2" s="14"/>
      <c r="UOF2" s="14"/>
      <c r="UOG2" s="14"/>
      <c r="UOH2" s="14"/>
      <c r="UOI2" s="14"/>
      <c r="UOJ2" s="14"/>
      <c r="UOK2" s="14"/>
      <c r="UOL2" s="14"/>
      <c r="UOM2" s="14"/>
      <c r="UON2" s="14"/>
      <c r="UOO2" s="14"/>
      <c r="UOP2" s="14"/>
      <c r="UOQ2" s="14"/>
      <c r="UOR2" s="14"/>
      <c r="UOS2" s="14"/>
      <c r="UOT2" s="14"/>
      <c r="UOU2" s="14"/>
      <c r="UOV2" s="14"/>
      <c r="UOW2" s="14"/>
      <c r="UOX2" s="14"/>
      <c r="UOY2" s="14"/>
      <c r="UOZ2" s="14"/>
      <c r="UPA2" s="14"/>
      <c r="UPB2" s="14"/>
      <c r="UPC2" s="14"/>
      <c r="UPD2" s="14"/>
      <c r="UPE2" s="14"/>
      <c r="UPF2" s="14"/>
      <c r="UPG2" s="14"/>
      <c r="UPH2" s="14"/>
      <c r="UPI2" s="14"/>
      <c r="UPJ2" s="14"/>
      <c r="UPK2" s="14"/>
      <c r="UPL2" s="14"/>
      <c r="UPM2" s="14"/>
      <c r="UPN2" s="14"/>
      <c r="UPO2" s="14"/>
      <c r="UPP2" s="14"/>
      <c r="UPQ2" s="14"/>
      <c r="UPR2" s="14"/>
      <c r="UPS2" s="14"/>
      <c r="UPT2" s="14"/>
      <c r="UPU2" s="14"/>
      <c r="UPV2" s="14"/>
      <c r="UPW2" s="14"/>
      <c r="UPX2" s="14"/>
      <c r="UPY2" s="14"/>
      <c r="UPZ2" s="14"/>
      <c r="UQA2" s="14"/>
      <c r="UQB2" s="14"/>
      <c r="UQC2" s="14"/>
      <c r="UQD2" s="14"/>
      <c r="UQE2" s="14"/>
      <c r="UQF2" s="14"/>
      <c r="UQG2" s="14"/>
      <c r="UQH2" s="14"/>
      <c r="UQI2" s="14"/>
      <c r="UQJ2" s="14"/>
      <c r="UQK2" s="14"/>
      <c r="UQL2" s="14"/>
      <c r="UQM2" s="14"/>
      <c r="UQN2" s="14"/>
      <c r="UQO2" s="14"/>
      <c r="UQP2" s="14"/>
      <c r="UQQ2" s="14"/>
      <c r="UQR2" s="14"/>
      <c r="UQS2" s="14"/>
      <c r="UQT2" s="14"/>
      <c r="UQU2" s="14"/>
      <c r="UQV2" s="14"/>
      <c r="UQW2" s="14"/>
      <c r="UQX2" s="14"/>
      <c r="UQY2" s="14"/>
      <c r="UQZ2" s="14"/>
      <c r="URA2" s="14"/>
      <c r="URB2" s="14"/>
      <c r="URC2" s="14"/>
      <c r="URD2" s="14"/>
      <c r="URE2" s="14"/>
      <c r="URF2" s="14"/>
      <c r="URG2" s="14"/>
      <c r="URH2" s="14"/>
      <c r="URI2" s="14"/>
      <c r="URJ2" s="14"/>
      <c r="URK2" s="14"/>
      <c r="URL2" s="14"/>
      <c r="URM2" s="14"/>
      <c r="URN2" s="14"/>
      <c r="URO2" s="14"/>
      <c r="URP2" s="14"/>
      <c r="URQ2" s="14"/>
      <c r="URR2" s="14"/>
      <c r="URS2" s="14"/>
      <c r="URT2" s="14"/>
      <c r="URU2" s="14"/>
      <c r="URV2" s="14"/>
      <c r="URW2" s="14"/>
      <c r="URX2" s="14"/>
      <c r="URY2" s="14"/>
      <c r="URZ2" s="14"/>
      <c r="USA2" s="14"/>
      <c r="USB2" s="14"/>
      <c r="USC2" s="14"/>
      <c r="USD2" s="14"/>
      <c r="USE2" s="14"/>
      <c r="USF2" s="14"/>
      <c r="USG2" s="14"/>
      <c r="USH2" s="14"/>
      <c r="USI2" s="14"/>
      <c r="USJ2" s="14"/>
      <c r="USK2" s="14"/>
      <c r="USL2" s="14"/>
      <c r="USM2" s="14"/>
      <c r="USN2" s="14"/>
      <c r="USO2" s="14"/>
      <c r="USP2" s="14"/>
      <c r="USQ2" s="14"/>
      <c r="USR2" s="14"/>
      <c r="USS2" s="14"/>
      <c r="UST2" s="14"/>
      <c r="USU2" s="14"/>
      <c r="USV2" s="14"/>
      <c r="USW2" s="14"/>
      <c r="USX2" s="14"/>
      <c r="USY2" s="14"/>
      <c r="USZ2" s="14"/>
      <c r="UTA2" s="14"/>
      <c r="UTB2" s="14"/>
      <c r="UTC2" s="14"/>
      <c r="UTD2" s="14"/>
      <c r="UTE2" s="14"/>
      <c r="UTF2" s="14"/>
      <c r="UTG2" s="14"/>
      <c r="UTH2" s="14"/>
      <c r="UTI2" s="14"/>
      <c r="UTJ2" s="14"/>
      <c r="UTK2" s="14"/>
      <c r="UTL2" s="14"/>
      <c r="UTM2" s="14"/>
      <c r="UTN2" s="14"/>
      <c r="UTO2" s="14"/>
      <c r="UTP2" s="14"/>
      <c r="UTQ2" s="14"/>
      <c r="UTR2" s="14"/>
      <c r="UTS2" s="14"/>
      <c r="UTT2" s="14"/>
      <c r="UTU2" s="14"/>
      <c r="UTV2" s="14"/>
      <c r="UTW2" s="14"/>
      <c r="UTX2" s="14"/>
      <c r="UTY2" s="14"/>
      <c r="UTZ2" s="14"/>
      <c r="UUA2" s="14"/>
      <c r="UUB2" s="14"/>
      <c r="UUC2" s="14"/>
      <c r="UUD2" s="14"/>
      <c r="UUE2" s="14"/>
      <c r="UUF2" s="14"/>
      <c r="UUG2" s="14"/>
      <c r="UUH2" s="14"/>
      <c r="UUI2" s="14"/>
      <c r="UUJ2" s="14"/>
      <c r="UUK2" s="14"/>
      <c r="UUL2" s="14"/>
      <c r="UUM2" s="14"/>
      <c r="UUN2" s="14"/>
      <c r="UUO2" s="14"/>
      <c r="UUP2" s="14"/>
      <c r="UUQ2" s="14"/>
      <c r="UUR2" s="14"/>
      <c r="UUS2" s="14"/>
      <c r="UUT2" s="14"/>
      <c r="UUU2" s="14"/>
      <c r="UUV2" s="14"/>
      <c r="UUW2" s="14"/>
      <c r="UUX2" s="14"/>
      <c r="UUY2" s="14"/>
      <c r="UUZ2" s="14"/>
      <c r="UVA2" s="14"/>
      <c r="UVB2" s="14"/>
      <c r="UVC2" s="14"/>
      <c r="UVD2" s="14"/>
      <c r="UVE2" s="14"/>
      <c r="UVF2" s="14"/>
      <c r="UVG2" s="14"/>
      <c r="UVH2" s="14"/>
      <c r="UVI2" s="14"/>
      <c r="UVJ2" s="14"/>
      <c r="UVK2" s="14"/>
      <c r="UVL2" s="14"/>
      <c r="UVM2" s="14"/>
      <c r="UVN2" s="14"/>
      <c r="UVO2" s="14"/>
      <c r="UVP2" s="14"/>
      <c r="UVQ2" s="14"/>
      <c r="UVR2" s="14"/>
      <c r="UVS2" s="14"/>
      <c r="UVT2" s="14"/>
      <c r="UVU2" s="14"/>
      <c r="UVV2" s="14"/>
      <c r="UVW2" s="14"/>
      <c r="UVX2" s="14"/>
      <c r="UVY2" s="14"/>
      <c r="UVZ2" s="14"/>
      <c r="UWA2" s="14"/>
      <c r="UWB2" s="14"/>
      <c r="UWC2" s="14"/>
      <c r="UWD2" s="14"/>
      <c r="UWE2" s="14"/>
      <c r="UWF2" s="14"/>
      <c r="UWG2" s="14"/>
      <c r="UWH2" s="14"/>
      <c r="UWI2" s="14"/>
      <c r="UWJ2" s="14"/>
      <c r="UWK2" s="14"/>
      <c r="UWL2" s="14"/>
      <c r="UWM2" s="14"/>
      <c r="UWN2" s="14"/>
      <c r="UWO2" s="14"/>
      <c r="UWP2" s="14"/>
      <c r="UWQ2" s="14"/>
      <c r="UWR2" s="14"/>
      <c r="UWS2" s="14"/>
      <c r="UWT2" s="14"/>
      <c r="UWU2" s="14"/>
      <c r="UWV2" s="14"/>
      <c r="UWW2" s="14"/>
      <c r="UWX2" s="14"/>
      <c r="UWY2" s="14"/>
      <c r="UWZ2" s="14"/>
      <c r="UXA2" s="14"/>
      <c r="UXB2" s="14"/>
      <c r="UXC2" s="14"/>
      <c r="UXD2" s="14"/>
      <c r="UXE2" s="14"/>
      <c r="UXF2" s="14"/>
      <c r="UXG2" s="14"/>
      <c r="UXH2" s="14"/>
      <c r="UXI2" s="14"/>
      <c r="UXJ2" s="14"/>
      <c r="UXK2" s="14"/>
      <c r="UXL2" s="14"/>
      <c r="UXM2" s="14"/>
      <c r="UXN2" s="14"/>
      <c r="UXO2" s="14"/>
      <c r="UXP2" s="14"/>
      <c r="UXQ2" s="14"/>
      <c r="UXR2" s="14"/>
      <c r="UXS2" s="14"/>
      <c r="UXT2" s="14"/>
      <c r="UXU2" s="14"/>
      <c r="UXV2" s="14"/>
      <c r="UXW2" s="14"/>
      <c r="UXX2" s="14"/>
      <c r="UXY2" s="14"/>
      <c r="UXZ2" s="14"/>
      <c r="UYA2" s="14"/>
      <c r="UYB2" s="14"/>
      <c r="UYC2" s="14"/>
      <c r="UYD2" s="14"/>
      <c r="UYE2" s="14"/>
      <c r="UYF2" s="14"/>
      <c r="UYG2" s="14"/>
      <c r="UYH2" s="14"/>
      <c r="UYI2" s="14"/>
      <c r="UYJ2" s="14"/>
      <c r="UYK2" s="14"/>
      <c r="UYL2" s="14"/>
      <c r="UYM2" s="14"/>
      <c r="UYN2" s="14"/>
      <c r="UYO2" s="14"/>
      <c r="UYP2" s="14"/>
      <c r="UYQ2" s="14"/>
      <c r="UYR2" s="14"/>
      <c r="UYS2" s="14"/>
      <c r="UYT2" s="14"/>
      <c r="UYU2" s="14"/>
      <c r="UYV2" s="14"/>
      <c r="UYW2" s="14"/>
      <c r="UYX2" s="14"/>
      <c r="UYY2" s="14"/>
      <c r="UYZ2" s="14"/>
      <c r="UZA2" s="14"/>
      <c r="UZB2" s="14"/>
      <c r="UZC2" s="14"/>
      <c r="UZD2" s="14"/>
      <c r="UZE2" s="14"/>
      <c r="UZF2" s="14"/>
      <c r="UZG2" s="14"/>
      <c r="UZH2" s="14"/>
      <c r="UZI2" s="14"/>
      <c r="UZJ2" s="14"/>
      <c r="UZK2" s="14"/>
      <c r="UZL2" s="14"/>
      <c r="UZM2" s="14"/>
      <c r="UZN2" s="14"/>
      <c r="UZO2" s="14"/>
      <c r="UZP2" s="14"/>
      <c r="UZQ2" s="14"/>
      <c r="UZR2" s="14"/>
      <c r="UZS2" s="14"/>
      <c r="UZT2" s="14"/>
      <c r="UZU2" s="14"/>
      <c r="UZV2" s="14"/>
      <c r="UZW2" s="14"/>
      <c r="UZX2" s="14"/>
      <c r="UZY2" s="14"/>
      <c r="UZZ2" s="14"/>
      <c r="VAA2" s="14"/>
      <c r="VAB2" s="14"/>
      <c r="VAC2" s="14"/>
      <c r="VAD2" s="14"/>
      <c r="VAE2" s="14"/>
      <c r="VAF2" s="14"/>
      <c r="VAG2" s="14"/>
      <c r="VAH2" s="14"/>
      <c r="VAI2" s="14"/>
      <c r="VAJ2" s="14"/>
      <c r="VAK2" s="14"/>
      <c r="VAL2" s="14"/>
      <c r="VAM2" s="14"/>
      <c r="VAN2" s="14"/>
      <c r="VAO2" s="14"/>
      <c r="VAP2" s="14"/>
      <c r="VAQ2" s="14"/>
      <c r="VAR2" s="14"/>
      <c r="VAS2" s="14"/>
      <c r="VAT2" s="14"/>
      <c r="VAU2" s="14"/>
      <c r="VAV2" s="14"/>
      <c r="VAW2" s="14"/>
      <c r="VAX2" s="14"/>
      <c r="VAY2" s="14"/>
      <c r="VAZ2" s="14"/>
      <c r="VBA2" s="14"/>
      <c r="VBB2" s="14"/>
      <c r="VBC2" s="14"/>
      <c r="VBD2" s="14"/>
      <c r="VBE2" s="14"/>
      <c r="VBF2" s="14"/>
      <c r="VBG2" s="14"/>
      <c r="VBH2" s="14"/>
      <c r="VBI2" s="14"/>
      <c r="VBJ2" s="14"/>
      <c r="VBK2" s="14"/>
      <c r="VBL2" s="14"/>
      <c r="VBM2" s="14"/>
      <c r="VBN2" s="14"/>
      <c r="VBO2" s="14"/>
      <c r="VBP2" s="14"/>
      <c r="VBQ2" s="14"/>
      <c r="VBR2" s="14"/>
      <c r="VBS2" s="14"/>
      <c r="VBT2" s="14"/>
      <c r="VBU2" s="14"/>
      <c r="VBV2" s="14"/>
      <c r="VBW2" s="14"/>
      <c r="VBX2" s="14"/>
      <c r="VBY2" s="14"/>
      <c r="VBZ2" s="14"/>
      <c r="VCA2" s="14"/>
      <c r="VCB2" s="14"/>
      <c r="VCC2" s="14"/>
      <c r="VCD2" s="14"/>
      <c r="VCE2" s="14"/>
      <c r="VCF2" s="14"/>
      <c r="VCG2" s="14"/>
      <c r="VCH2" s="14"/>
      <c r="VCI2" s="14"/>
      <c r="VCJ2" s="14"/>
      <c r="VCK2" s="14"/>
      <c r="VCL2" s="14"/>
      <c r="VCM2" s="14"/>
      <c r="VCN2" s="14"/>
      <c r="VCO2" s="14"/>
      <c r="VCP2" s="14"/>
      <c r="VCQ2" s="14"/>
      <c r="VCR2" s="14"/>
      <c r="VCS2" s="14"/>
      <c r="VCT2" s="14"/>
      <c r="VCU2" s="14"/>
      <c r="VCV2" s="14"/>
      <c r="VCW2" s="14"/>
      <c r="VCX2" s="14"/>
      <c r="VCY2" s="14"/>
      <c r="VCZ2" s="14"/>
      <c r="VDA2" s="14"/>
      <c r="VDB2" s="14"/>
      <c r="VDC2" s="14"/>
      <c r="VDD2" s="14"/>
      <c r="VDE2" s="14"/>
      <c r="VDF2" s="14"/>
      <c r="VDG2" s="14"/>
      <c r="VDH2" s="14"/>
      <c r="VDI2" s="14"/>
      <c r="VDJ2" s="14"/>
      <c r="VDK2" s="14"/>
      <c r="VDL2" s="14"/>
      <c r="VDM2" s="14"/>
      <c r="VDN2" s="14"/>
      <c r="VDO2" s="14"/>
      <c r="VDP2" s="14"/>
      <c r="VDQ2" s="14"/>
      <c r="VDR2" s="14"/>
      <c r="VDS2" s="14"/>
      <c r="VDT2" s="14"/>
      <c r="VDU2" s="14"/>
      <c r="VDV2" s="14"/>
      <c r="VDW2" s="14"/>
      <c r="VDX2" s="14"/>
      <c r="VDY2" s="14"/>
      <c r="VDZ2" s="14"/>
      <c r="VEA2" s="14"/>
      <c r="VEB2" s="14"/>
      <c r="VEC2" s="14"/>
      <c r="VED2" s="14"/>
      <c r="VEE2" s="14"/>
      <c r="VEF2" s="14"/>
      <c r="VEG2" s="14"/>
      <c r="VEH2" s="14"/>
      <c r="VEI2" s="14"/>
      <c r="VEJ2" s="14"/>
      <c r="VEK2" s="14"/>
      <c r="VEL2" s="14"/>
      <c r="VEM2" s="14"/>
      <c r="VEN2" s="14"/>
      <c r="VEO2" s="14"/>
      <c r="VEP2" s="14"/>
      <c r="VEQ2" s="14"/>
      <c r="VER2" s="14"/>
      <c r="VES2" s="14"/>
      <c r="VET2" s="14"/>
      <c r="VEU2" s="14"/>
      <c r="VEV2" s="14"/>
      <c r="VEW2" s="14"/>
      <c r="VEX2" s="14"/>
      <c r="VEY2" s="14"/>
      <c r="VEZ2" s="14"/>
      <c r="VFA2" s="14"/>
      <c r="VFB2" s="14"/>
      <c r="VFC2" s="14"/>
      <c r="VFD2" s="14"/>
      <c r="VFE2" s="14"/>
      <c r="VFF2" s="14"/>
      <c r="VFG2" s="14"/>
      <c r="VFH2" s="14"/>
      <c r="VFI2" s="14"/>
      <c r="VFJ2" s="14"/>
      <c r="VFK2" s="14"/>
      <c r="VFL2" s="14"/>
      <c r="VFM2" s="14"/>
      <c r="VFN2" s="14"/>
      <c r="VFO2" s="14"/>
      <c r="VFP2" s="14"/>
      <c r="VFQ2" s="14"/>
      <c r="VFR2" s="14"/>
      <c r="VFS2" s="14"/>
      <c r="VFT2" s="14"/>
      <c r="VFU2" s="14"/>
      <c r="VFV2" s="14"/>
      <c r="VFW2" s="14"/>
      <c r="VFX2" s="14"/>
      <c r="VFY2" s="14"/>
      <c r="VFZ2" s="14"/>
      <c r="VGA2" s="14"/>
      <c r="VGB2" s="14"/>
      <c r="VGC2" s="14"/>
      <c r="VGD2" s="14"/>
      <c r="VGE2" s="14"/>
      <c r="VGF2" s="14"/>
      <c r="VGG2" s="14"/>
      <c r="VGH2" s="14"/>
      <c r="VGI2" s="14"/>
      <c r="VGJ2" s="14"/>
      <c r="VGK2" s="14"/>
      <c r="VGL2" s="14"/>
      <c r="VGM2" s="14"/>
      <c r="VGN2" s="14"/>
      <c r="VGO2" s="14"/>
      <c r="VGP2" s="14"/>
      <c r="VGQ2" s="14"/>
      <c r="VGR2" s="14"/>
      <c r="VGS2" s="14"/>
      <c r="VGT2" s="14"/>
      <c r="VGU2" s="14"/>
      <c r="VGV2" s="14"/>
      <c r="VGW2" s="14"/>
      <c r="VGX2" s="14"/>
      <c r="VGY2" s="14"/>
      <c r="VGZ2" s="14"/>
      <c r="VHA2" s="14"/>
      <c r="VHB2" s="14"/>
      <c r="VHC2" s="14"/>
      <c r="VHD2" s="14"/>
      <c r="VHE2" s="14"/>
      <c r="VHF2" s="14"/>
      <c r="VHG2" s="14"/>
      <c r="VHH2" s="14"/>
      <c r="VHI2" s="14"/>
      <c r="VHJ2" s="14"/>
      <c r="VHK2" s="14"/>
      <c r="VHL2" s="14"/>
      <c r="VHM2" s="14"/>
      <c r="VHN2" s="14"/>
      <c r="VHO2" s="14"/>
      <c r="VHP2" s="14"/>
      <c r="VHQ2" s="14"/>
      <c r="VHR2" s="14"/>
      <c r="VHS2" s="14"/>
      <c r="VHT2" s="14"/>
      <c r="VHU2" s="14"/>
      <c r="VHV2" s="14"/>
      <c r="VHW2" s="14"/>
      <c r="VHX2" s="14"/>
      <c r="VHY2" s="14"/>
      <c r="VHZ2" s="14"/>
      <c r="VIA2" s="14"/>
      <c r="VIB2" s="14"/>
      <c r="VIC2" s="14"/>
      <c r="VID2" s="14"/>
      <c r="VIE2" s="14"/>
      <c r="VIF2" s="14"/>
      <c r="VIG2" s="14"/>
      <c r="VIH2" s="14"/>
      <c r="VII2" s="14"/>
      <c r="VIJ2" s="14"/>
      <c r="VIK2" s="14"/>
      <c r="VIL2" s="14"/>
      <c r="VIM2" s="14"/>
      <c r="VIN2" s="14"/>
      <c r="VIO2" s="14"/>
      <c r="VIP2" s="14"/>
      <c r="VIQ2" s="14"/>
      <c r="VIR2" s="14"/>
      <c r="VIS2" s="14"/>
      <c r="VIT2" s="14"/>
      <c r="VIU2" s="14"/>
      <c r="VIV2" s="14"/>
      <c r="VIW2" s="14"/>
      <c r="VIX2" s="14"/>
      <c r="VIY2" s="14"/>
      <c r="VIZ2" s="14"/>
      <c r="VJA2" s="14"/>
      <c r="VJB2" s="14"/>
      <c r="VJC2" s="14"/>
      <c r="VJD2" s="14"/>
      <c r="VJE2" s="14"/>
      <c r="VJF2" s="14"/>
      <c r="VJG2" s="14"/>
      <c r="VJH2" s="14"/>
      <c r="VJI2" s="14"/>
      <c r="VJJ2" s="14"/>
      <c r="VJK2" s="14"/>
      <c r="VJL2" s="14"/>
      <c r="VJM2" s="14"/>
      <c r="VJN2" s="14"/>
      <c r="VJO2" s="14"/>
      <c r="VJP2" s="14"/>
      <c r="VJQ2" s="14"/>
      <c r="VJR2" s="14"/>
      <c r="VJS2" s="14"/>
      <c r="VJT2" s="14"/>
      <c r="VJU2" s="14"/>
      <c r="VJV2" s="14"/>
      <c r="VJW2" s="14"/>
      <c r="VJX2" s="14"/>
      <c r="VJY2" s="14"/>
      <c r="VJZ2" s="14"/>
      <c r="VKA2" s="14"/>
      <c r="VKB2" s="14"/>
      <c r="VKC2" s="14"/>
      <c r="VKD2" s="14"/>
      <c r="VKE2" s="14"/>
      <c r="VKF2" s="14"/>
      <c r="VKG2" s="14"/>
      <c r="VKH2" s="14"/>
      <c r="VKI2" s="14"/>
      <c r="VKJ2" s="14"/>
      <c r="VKK2" s="14"/>
      <c r="VKL2" s="14"/>
      <c r="VKM2" s="14"/>
      <c r="VKN2" s="14"/>
      <c r="VKO2" s="14"/>
      <c r="VKP2" s="14"/>
      <c r="VKQ2" s="14"/>
      <c r="VKR2" s="14"/>
      <c r="VKS2" s="14"/>
      <c r="VKT2" s="14"/>
      <c r="VKU2" s="14"/>
      <c r="VKV2" s="14"/>
      <c r="VKW2" s="14"/>
      <c r="VKX2" s="14"/>
      <c r="VKY2" s="14"/>
      <c r="VKZ2" s="14"/>
      <c r="VLA2" s="14"/>
      <c r="VLB2" s="14"/>
      <c r="VLC2" s="14"/>
      <c r="VLD2" s="14"/>
      <c r="VLE2" s="14"/>
      <c r="VLF2" s="14"/>
      <c r="VLG2" s="14"/>
      <c r="VLH2" s="14"/>
      <c r="VLI2" s="14"/>
      <c r="VLJ2" s="14"/>
      <c r="VLK2" s="14"/>
      <c r="VLL2" s="14"/>
      <c r="VLM2" s="14"/>
      <c r="VLN2" s="14"/>
      <c r="VLO2" s="14"/>
      <c r="VLP2" s="14"/>
      <c r="VLQ2" s="14"/>
      <c r="VLR2" s="14"/>
      <c r="VLS2" s="14"/>
      <c r="VLT2" s="14"/>
      <c r="VLU2" s="14"/>
      <c r="VLV2" s="14"/>
      <c r="VLW2" s="14"/>
      <c r="VLX2" s="14"/>
      <c r="VLY2" s="14"/>
      <c r="VLZ2" s="14"/>
      <c r="VMA2" s="14"/>
      <c r="VMB2" s="14"/>
      <c r="VMC2" s="14"/>
      <c r="VMD2" s="14"/>
      <c r="VME2" s="14"/>
      <c r="VMF2" s="14"/>
      <c r="VMG2" s="14"/>
      <c r="VMH2" s="14"/>
      <c r="VMI2" s="14"/>
      <c r="VMJ2" s="14"/>
      <c r="VMK2" s="14"/>
      <c r="VML2" s="14"/>
      <c r="VMM2" s="14"/>
      <c r="VMN2" s="14"/>
      <c r="VMO2" s="14"/>
      <c r="VMP2" s="14"/>
      <c r="VMQ2" s="14"/>
      <c r="VMR2" s="14"/>
      <c r="VMS2" s="14"/>
      <c r="VMT2" s="14"/>
      <c r="VMU2" s="14"/>
      <c r="VMV2" s="14"/>
      <c r="VMW2" s="14"/>
      <c r="VMX2" s="14"/>
      <c r="VMY2" s="14"/>
      <c r="VMZ2" s="14"/>
      <c r="VNA2" s="14"/>
      <c r="VNB2" s="14"/>
      <c r="VNC2" s="14"/>
      <c r="VND2" s="14"/>
      <c r="VNE2" s="14"/>
      <c r="VNF2" s="14"/>
      <c r="VNG2" s="14"/>
      <c r="VNH2" s="14"/>
      <c r="VNI2" s="14"/>
      <c r="VNJ2" s="14"/>
      <c r="VNK2" s="14"/>
      <c r="VNL2" s="14"/>
      <c r="VNM2" s="14"/>
      <c r="VNN2" s="14"/>
      <c r="VNO2" s="14"/>
      <c r="VNP2" s="14"/>
      <c r="VNQ2" s="14"/>
      <c r="VNR2" s="14"/>
      <c r="VNS2" s="14"/>
      <c r="VNT2" s="14"/>
      <c r="VNU2" s="14"/>
      <c r="VNV2" s="14"/>
      <c r="VNW2" s="14"/>
      <c r="VNX2" s="14"/>
      <c r="VNY2" s="14"/>
      <c r="VNZ2" s="14"/>
      <c r="VOA2" s="14"/>
      <c r="VOB2" s="14"/>
      <c r="VOC2" s="14"/>
      <c r="VOD2" s="14"/>
      <c r="VOE2" s="14"/>
      <c r="VOF2" s="14"/>
      <c r="VOG2" s="14"/>
      <c r="VOH2" s="14"/>
      <c r="VOI2" s="14"/>
      <c r="VOJ2" s="14"/>
      <c r="VOK2" s="14"/>
      <c r="VOL2" s="14"/>
      <c r="VOM2" s="14"/>
      <c r="VON2" s="14"/>
      <c r="VOO2" s="14"/>
      <c r="VOP2" s="14"/>
      <c r="VOQ2" s="14"/>
      <c r="VOR2" s="14"/>
      <c r="VOS2" s="14"/>
      <c r="VOT2" s="14"/>
      <c r="VOU2" s="14"/>
      <c r="VOV2" s="14"/>
      <c r="VOW2" s="14"/>
      <c r="VOX2" s="14"/>
      <c r="VOY2" s="14"/>
      <c r="VOZ2" s="14"/>
      <c r="VPA2" s="14"/>
      <c r="VPB2" s="14"/>
      <c r="VPC2" s="14"/>
      <c r="VPD2" s="14"/>
      <c r="VPE2" s="14"/>
      <c r="VPF2" s="14"/>
      <c r="VPG2" s="14"/>
      <c r="VPH2" s="14"/>
      <c r="VPI2" s="14"/>
      <c r="VPJ2" s="14"/>
      <c r="VPK2" s="14"/>
      <c r="VPL2" s="14"/>
      <c r="VPM2" s="14"/>
      <c r="VPN2" s="14"/>
      <c r="VPO2" s="14"/>
      <c r="VPP2" s="14"/>
      <c r="VPQ2" s="14"/>
      <c r="VPR2" s="14"/>
      <c r="VPS2" s="14"/>
      <c r="VPT2" s="14"/>
      <c r="VPU2" s="14"/>
      <c r="VPV2" s="14"/>
      <c r="VPW2" s="14"/>
      <c r="VPX2" s="14"/>
      <c r="VPY2" s="14"/>
      <c r="VPZ2" s="14"/>
      <c r="VQA2" s="14"/>
      <c r="VQB2" s="14"/>
      <c r="VQC2" s="14"/>
      <c r="VQD2" s="14"/>
      <c r="VQE2" s="14"/>
      <c r="VQF2" s="14"/>
      <c r="VQG2" s="14"/>
      <c r="VQH2" s="14"/>
      <c r="VQI2" s="14"/>
      <c r="VQJ2" s="14"/>
      <c r="VQK2" s="14"/>
      <c r="VQL2" s="14"/>
      <c r="VQM2" s="14"/>
      <c r="VQN2" s="14"/>
      <c r="VQO2" s="14"/>
      <c r="VQP2" s="14"/>
      <c r="VQQ2" s="14"/>
      <c r="VQR2" s="14"/>
      <c r="VQS2" s="14"/>
      <c r="VQT2" s="14"/>
      <c r="VQU2" s="14"/>
      <c r="VQV2" s="14"/>
      <c r="VQW2" s="14"/>
      <c r="VQX2" s="14"/>
      <c r="VQY2" s="14"/>
      <c r="VQZ2" s="14"/>
      <c r="VRA2" s="14"/>
      <c r="VRB2" s="14"/>
      <c r="VRC2" s="14"/>
      <c r="VRD2" s="14"/>
      <c r="VRE2" s="14"/>
      <c r="VRF2" s="14"/>
      <c r="VRG2" s="14"/>
      <c r="VRH2" s="14"/>
      <c r="VRI2" s="14"/>
      <c r="VRJ2" s="14"/>
      <c r="VRK2" s="14"/>
      <c r="VRL2" s="14"/>
      <c r="VRM2" s="14"/>
      <c r="VRN2" s="14"/>
      <c r="VRO2" s="14"/>
      <c r="VRP2" s="14"/>
      <c r="VRQ2" s="14"/>
      <c r="VRR2" s="14"/>
      <c r="VRS2" s="14"/>
      <c r="VRT2" s="14"/>
      <c r="VRU2" s="14"/>
      <c r="VRV2" s="14"/>
      <c r="VRW2" s="14"/>
      <c r="VRX2" s="14"/>
      <c r="VRY2" s="14"/>
      <c r="VRZ2" s="14"/>
      <c r="VSA2" s="14"/>
      <c r="VSB2" s="14"/>
      <c r="VSC2" s="14"/>
      <c r="VSD2" s="14"/>
      <c r="VSE2" s="14"/>
      <c r="VSF2" s="14"/>
      <c r="VSG2" s="14"/>
      <c r="VSH2" s="14"/>
      <c r="VSI2" s="14"/>
      <c r="VSJ2" s="14"/>
      <c r="VSK2" s="14"/>
      <c r="VSL2" s="14"/>
      <c r="VSM2" s="14"/>
      <c r="VSN2" s="14"/>
      <c r="VSO2" s="14"/>
      <c r="VSP2" s="14"/>
      <c r="VSQ2" s="14"/>
      <c r="VSR2" s="14"/>
      <c r="VSS2" s="14"/>
      <c r="VST2" s="14"/>
      <c r="VSU2" s="14"/>
      <c r="VSV2" s="14"/>
      <c r="VSW2" s="14"/>
      <c r="VSX2" s="14"/>
      <c r="VSY2" s="14"/>
      <c r="VSZ2" s="14"/>
      <c r="VTA2" s="14"/>
      <c r="VTB2" s="14"/>
      <c r="VTC2" s="14"/>
      <c r="VTD2" s="14"/>
      <c r="VTE2" s="14"/>
      <c r="VTF2" s="14"/>
      <c r="VTG2" s="14"/>
      <c r="VTH2" s="14"/>
      <c r="VTI2" s="14"/>
      <c r="VTJ2" s="14"/>
      <c r="VTK2" s="14"/>
      <c r="VTL2" s="14"/>
      <c r="VTM2" s="14"/>
      <c r="VTN2" s="14"/>
      <c r="VTO2" s="14"/>
      <c r="VTP2" s="14"/>
      <c r="VTQ2" s="14"/>
      <c r="VTR2" s="14"/>
      <c r="VTS2" s="14"/>
      <c r="VTT2" s="14"/>
      <c r="VTU2" s="14"/>
      <c r="VTV2" s="14"/>
      <c r="VTW2" s="14"/>
      <c r="VTX2" s="14"/>
      <c r="VTY2" s="14"/>
      <c r="VTZ2" s="14"/>
      <c r="VUA2" s="14"/>
      <c r="VUB2" s="14"/>
      <c r="VUC2" s="14"/>
      <c r="VUD2" s="14"/>
      <c r="VUE2" s="14"/>
      <c r="VUF2" s="14"/>
      <c r="VUG2" s="14"/>
      <c r="VUH2" s="14"/>
      <c r="VUI2" s="14"/>
      <c r="VUJ2" s="14"/>
      <c r="VUK2" s="14"/>
      <c r="VUL2" s="14"/>
      <c r="VUM2" s="14"/>
      <c r="VUN2" s="14"/>
      <c r="VUO2" s="14"/>
      <c r="VUP2" s="14"/>
      <c r="VUQ2" s="14"/>
      <c r="VUR2" s="14"/>
      <c r="VUS2" s="14"/>
      <c r="VUT2" s="14"/>
      <c r="VUU2" s="14"/>
      <c r="VUV2" s="14"/>
      <c r="VUW2" s="14"/>
      <c r="VUX2" s="14"/>
      <c r="VUY2" s="14"/>
      <c r="VUZ2" s="14"/>
      <c r="VVA2" s="14"/>
      <c r="VVB2" s="14"/>
      <c r="VVC2" s="14"/>
      <c r="VVD2" s="14"/>
      <c r="VVE2" s="14"/>
      <c r="VVF2" s="14"/>
      <c r="VVG2" s="14"/>
      <c r="VVH2" s="14"/>
      <c r="VVI2" s="14"/>
      <c r="VVJ2" s="14"/>
      <c r="VVK2" s="14"/>
      <c r="VVL2" s="14"/>
      <c r="VVM2" s="14"/>
      <c r="VVN2" s="14"/>
      <c r="VVO2" s="14"/>
      <c r="VVP2" s="14"/>
      <c r="VVQ2" s="14"/>
      <c r="VVR2" s="14"/>
      <c r="VVS2" s="14"/>
      <c r="VVT2" s="14"/>
      <c r="VVU2" s="14"/>
      <c r="VVV2" s="14"/>
      <c r="VVW2" s="14"/>
      <c r="VVX2" s="14"/>
      <c r="VVY2" s="14"/>
      <c r="VVZ2" s="14"/>
      <c r="VWA2" s="14"/>
      <c r="VWB2" s="14"/>
      <c r="VWC2" s="14"/>
      <c r="VWD2" s="14"/>
      <c r="VWE2" s="14"/>
      <c r="VWF2" s="14"/>
      <c r="VWG2" s="14"/>
      <c r="VWH2" s="14"/>
      <c r="VWI2" s="14"/>
      <c r="VWJ2" s="14"/>
      <c r="VWK2" s="14"/>
      <c r="VWL2" s="14"/>
      <c r="VWM2" s="14"/>
      <c r="VWN2" s="14"/>
      <c r="VWO2" s="14"/>
      <c r="VWP2" s="14"/>
      <c r="VWQ2" s="14"/>
      <c r="VWR2" s="14"/>
      <c r="VWS2" s="14"/>
      <c r="VWT2" s="14"/>
      <c r="VWU2" s="14"/>
      <c r="VWV2" s="14"/>
      <c r="VWW2" s="14"/>
      <c r="VWX2" s="14"/>
      <c r="VWY2" s="14"/>
      <c r="VWZ2" s="14"/>
      <c r="VXA2" s="14"/>
      <c r="VXB2" s="14"/>
      <c r="VXC2" s="14"/>
      <c r="VXD2" s="14"/>
      <c r="VXE2" s="14"/>
      <c r="VXF2" s="14"/>
      <c r="VXG2" s="14"/>
      <c r="VXH2" s="14"/>
      <c r="VXI2" s="14"/>
      <c r="VXJ2" s="14"/>
      <c r="VXK2" s="14"/>
      <c r="VXL2" s="14"/>
      <c r="VXM2" s="14"/>
      <c r="VXN2" s="14"/>
      <c r="VXO2" s="14"/>
      <c r="VXP2" s="14"/>
      <c r="VXQ2" s="14"/>
      <c r="VXR2" s="14"/>
      <c r="VXS2" s="14"/>
      <c r="VXT2" s="14"/>
      <c r="VXU2" s="14"/>
      <c r="VXV2" s="14"/>
      <c r="VXW2" s="14"/>
      <c r="VXX2" s="14"/>
      <c r="VXY2" s="14"/>
      <c r="VXZ2" s="14"/>
      <c r="VYA2" s="14"/>
      <c r="VYB2" s="14"/>
      <c r="VYC2" s="14"/>
      <c r="VYD2" s="14"/>
      <c r="VYE2" s="14"/>
      <c r="VYF2" s="14"/>
      <c r="VYG2" s="14"/>
      <c r="VYH2" s="14"/>
      <c r="VYI2" s="14"/>
      <c r="VYJ2" s="14"/>
      <c r="VYK2" s="14"/>
      <c r="VYL2" s="14"/>
      <c r="VYM2" s="14"/>
      <c r="VYN2" s="14"/>
      <c r="VYO2" s="14"/>
      <c r="VYP2" s="14"/>
      <c r="VYQ2" s="14"/>
      <c r="VYR2" s="14"/>
      <c r="VYS2" s="14"/>
      <c r="VYT2" s="14"/>
      <c r="VYU2" s="14"/>
      <c r="VYV2" s="14"/>
      <c r="VYW2" s="14"/>
      <c r="VYX2" s="14"/>
      <c r="VYY2" s="14"/>
      <c r="VYZ2" s="14"/>
      <c r="VZA2" s="14"/>
      <c r="VZB2" s="14"/>
      <c r="VZC2" s="14"/>
      <c r="VZD2" s="14"/>
      <c r="VZE2" s="14"/>
      <c r="VZF2" s="14"/>
      <c r="VZG2" s="14"/>
      <c r="VZH2" s="14"/>
      <c r="VZI2" s="14"/>
      <c r="VZJ2" s="14"/>
      <c r="VZK2" s="14"/>
      <c r="VZL2" s="14"/>
      <c r="VZM2" s="14"/>
      <c r="VZN2" s="14"/>
      <c r="VZO2" s="14"/>
      <c r="VZP2" s="14"/>
      <c r="VZQ2" s="14"/>
      <c r="VZR2" s="14"/>
      <c r="VZS2" s="14"/>
      <c r="VZT2" s="14"/>
      <c r="VZU2" s="14"/>
      <c r="VZV2" s="14"/>
      <c r="VZW2" s="14"/>
      <c r="VZX2" s="14"/>
      <c r="VZY2" s="14"/>
      <c r="VZZ2" s="14"/>
      <c r="WAA2" s="14"/>
      <c r="WAB2" s="14"/>
      <c r="WAC2" s="14"/>
      <c r="WAD2" s="14"/>
      <c r="WAE2" s="14"/>
      <c r="WAF2" s="14"/>
      <c r="WAG2" s="14"/>
      <c r="WAH2" s="14"/>
      <c r="WAI2" s="14"/>
      <c r="WAJ2" s="14"/>
      <c r="WAK2" s="14"/>
      <c r="WAL2" s="14"/>
      <c r="WAM2" s="14"/>
      <c r="WAN2" s="14"/>
      <c r="WAO2" s="14"/>
      <c r="WAP2" s="14"/>
      <c r="WAQ2" s="14"/>
      <c r="WAR2" s="14"/>
      <c r="WAS2" s="14"/>
      <c r="WAT2" s="14"/>
      <c r="WAU2" s="14"/>
      <c r="WAV2" s="14"/>
      <c r="WAW2" s="14"/>
      <c r="WAX2" s="14"/>
      <c r="WAY2" s="14"/>
      <c r="WAZ2" s="14"/>
      <c r="WBA2" s="14"/>
      <c r="WBB2" s="14"/>
      <c r="WBC2" s="14"/>
      <c r="WBD2" s="14"/>
      <c r="WBE2" s="14"/>
      <c r="WBF2" s="14"/>
      <c r="WBG2" s="14"/>
      <c r="WBH2" s="14"/>
      <c r="WBI2" s="14"/>
      <c r="WBJ2" s="14"/>
      <c r="WBK2" s="14"/>
      <c r="WBL2" s="14"/>
      <c r="WBM2" s="14"/>
      <c r="WBN2" s="14"/>
      <c r="WBO2" s="14"/>
      <c r="WBP2" s="14"/>
      <c r="WBQ2" s="14"/>
      <c r="WBR2" s="14"/>
      <c r="WBS2" s="14"/>
      <c r="WBT2" s="14"/>
      <c r="WBU2" s="14"/>
      <c r="WBV2" s="14"/>
      <c r="WBW2" s="14"/>
      <c r="WBX2" s="14"/>
      <c r="WBY2" s="14"/>
      <c r="WBZ2" s="14"/>
      <c r="WCA2" s="14"/>
      <c r="WCB2" s="14"/>
      <c r="WCC2" s="14"/>
      <c r="WCD2" s="14"/>
      <c r="WCE2" s="14"/>
      <c r="WCF2" s="14"/>
      <c r="WCG2" s="14"/>
      <c r="WCH2" s="14"/>
      <c r="WCI2" s="14"/>
      <c r="WCJ2" s="14"/>
      <c r="WCK2" s="14"/>
      <c r="WCL2" s="14"/>
      <c r="WCM2" s="14"/>
      <c r="WCN2" s="14"/>
      <c r="WCO2" s="14"/>
      <c r="WCP2" s="14"/>
      <c r="WCQ2" s="14"/>
      <c r="WCR2" s="14"/>
      <c r="WCS2" s="14"/>
      <c r="WCT2" s="14"/>
      <c r="WCU2" s="14"/>
      <c r="WCV2" s="14"/>
      <c r="WCW2" s="14"/>
      <c r="WCX2" s="14"/>
      <c r="WCY2" s="14"/>
      <c r="WCZ2" s="14"/>
      <c r="WDA2" s="14"/>
      <c r="WDB2" s="14"/>
      <c r="WDC2" s="14"/>
      <c r="WDD2" s="14"/>
      <c r="WDE2" s="14"/>
      <c r="WDF2" s="14"/>
      <c r="WDG2" s="14"/>
      <c r="WDH2" s="14"/>
      <c r="WDI2" s="14"/>
      <c r="WDJ2" s="14"/>
      <c r="WDK2" s="14"/>
      <c r="WDL2" s="14"/>
      <c r="WDM2" s="14"/>
      <c r="WDN2" s="14"/>
      <c r="WDO2" s="14"/>
      <c r="WDP2" s="14"/>
      <c r="WDQ2" s="14"/>
      <c r="WDR2" s="14"/>
      <c r="WDS2" s="14"/>
      <c r="WDT2" s="14"/>
      <c r="WDU2" s="14"/>
      <c r="WDV2" s="14"/>
      <c r="WDW2" s="14"/>
      <c r="WDX2" s="14"/>
      <c r="WDY2" s="14"/>
      <c r="WDZ2" s="14"/>
      <c r="WEA2" s="14"/>
      <c r="WEB2" s="14"/>
      <c r="WEC2" s="14"/>
      <c r="WED2" s="14"/>
      <c r="WEE2" s="14"/>
      <c r="WEF2" s="14"/>
      <c r="WEG2" s="14"/>
      <c r="WEH2" s="14"/>
      <c r="WEI2" s="14"/>
      <c r="WEJ2" s="14"/>
      <c r="WEK2" s="14"/>
      <c r="WEL2" s="14"/>
      <c r="WEM2" s="14"/>
      <c r="WEN2" s="14"/>
      <c r="WEO2" s="14"/>
      <c r="WEP2" s="14"/>
      <c r="WEQ2" s="14"/>
      <c r="WER2" s="14"/>
      <c r="WES2" s="14"/>
      <c r="WET2" s="14"/>
      <c r="WEU2" s="14"/>
      <c r="WEV2" s="14"/>
      <c r="WEW2" s="14"/>
      <c r="WEX2" s="14"/>
      <c r="WEY2" s="14"/>
      <c r="WEZ2" s="14"/>
      <c r="WFA2" s="14"/>
      <c r="WFB2" s="14"/>
      <c r="WFC2" s="14"/>
      <c r="WFD2" s="14"/>
      <c r="WFE2" s="14"/>
      <c r="WFF2" s="14"/>
      <c r="WFG2" s="14"/>
      <c r="WFH2" s="14"/>
      <c r="WFI2" s="14"/>
      <c r="WFJ2" s="14"/>
      <c r="WFK2" s="14"/>
      <c r="WFL2" s="14"/>
      <c r="WFM2" s="14"/>
      <c r="WFN2" s="14"/>
      <c r="WFO2" s="14"/>
      <c r="WFP2" s="14"/>
      <c r="WFQ2" s="14"/>
      <c r="WFR2" s="14"/>
      <c r="WFS2" s="14"/>
      <c r="WFT2" s="14"/>
      <c r="WFU2" s="14"/>
      <c r="WFV2" s="14"/>
      <c r="WFW2" s="14"/>
      <c r="WFX2" s="14"/>
      <c r="WFY2" s="14"/>
      <c r="WFZ2" s="14"/>
      <c r="WGA2" s="14"/>
      <c r="WGB2" s="14"/>
      <c r="WGC2" s="14"/>
      <c r="WGD2" s="14"/>
      <c r="WGE2" s="14"/>
      <c r="WGF2" s="14"/>
      <c r="WGG2" s="14"/>
      <c r="WGH2" s="14"/>
      <c r="WGI2" s="14"/>
      <c r="WGJ2" s="14"/>
      <c r="WGK2" s="14"/>
      <c r="WGL2" s="14"/>
      <c r="WGM2" s="14"/>
      <c r="WGN2" s="14"/>
      <c r="WGO2" s="14"/>
      <c r="WGP2" s="14"/>
      <c r="WGQ2" s="14"/>
      <c r="WGR2" s="14"/>
      <c r="WGS2" s="14"/>
      <c r="WGT2" s="14"/>
      <c r="WGU2" s="14"/>
      <c r="WGV2" s="14"/>
      <c r="WGW2" s="14"/>
      <c r="WGX2" s="14"/>
      <c r="WGY2" s="14"/>
      <c r="WGZ2" s="14"/>
      <c r="WHA2" s="14"/>
      <c r="WHB2" s="14"/>
      <c r="WHC2" s="14"/>
      <c r="WHD2" s="14"/>
      <c r="WHE2" s="14"/>
      <c r="WHF2" s="14"/>
      <c r="WHG2" s="14"/>
      <c r="WHH2" s="14"/>
      <c r="WHI2" s="14"/>
      <c r="WHJ2" s="14"/>
      <c r="WHK2" s="14"/>
      <c r="WHL2" s="14"/>
      <c r="WHM2" s="14"/>
      <c r="WHN2" s="14"/>
      <c r="WHO2" s="14"/>
      <c r="WHP2" s="14"/>
      <c r="WHQ2" s="14"/>
      <c r="WHR2" s="14"/>
      <c r="WHS2" s="14"/>
      <c r="WHT2" s="14"/>
      <c r="WHU2" s="14"/>
      <c r="WHV2" s="14"/>
      <c r="WHW2" s="14"/>
      <c r="WHX2" s="14"/>
      <c r="WHY2" s="14"/>
      <c r="WHZ2" s="14"/>
      <c r="WIA2" s="14"/>
      <c r="WIB2" s="14"/>
      <c r="WIC2" s="14"/>
      <c r="WID2" s="14"/>
      <c r="WIE2" s="14"/>
      <c r="WIF2" s="14"/>
      <c r="WIG2" s="14"/>
      <c r="WIH2" s="14"/>
      <c r="WII2" s="14"/>
      <c r="WIJ2" s="14"/>
      <c r="WIK2" s="14"/>
      <c r="WIL2" s="14"/>
      <c r="WIM2" s="14"/>
      <c r="WIN2" s="14"/>
      <c r="WIO2" s="14"/>
      <c r="WIP2" s="14"/>
      <c r="WIQ2" s="14"/>
      <c r="WIR2" s="14"/>
      <c r="WIS2" s="14"/>
      <c r="WIT2" s="14"/>
      <c r="WIU2" s="14"/>
      <c r="WIV2" s="14"/>
      <c r="WIW2" s="14"/>
      <c r="WIX2" s="14"/>
      <c r="WIY2" s="14"/>
      <c r="WIZ2" s="14"/>
      <c r="WJA2" s="14"/>
      <c r="WJB2" s="14"/>
      <c r="WJC2" s="14"/>
      <c r="WJD2" s="14"/>
      <c r="WJE2" s="14"/>
      <c r="WJF2" s="14"/>
      <c r="WJG2" s="14"/>
      <c r="WJH2" s="14"/>
      <c r="WJI2" s="14"/>
      <c r="WJJ2" s="14"/>
      <c r="WJK2" s="14"/>
      <c r="WJL2" s="14"/>
      <c r="WJM2" s="14"/>
      <c r="WJN2" s="14"/>
      <c r="WJO2" s="14"/>
      <c r="WJP2" s="14"/>
      <c r="WJQ2" s="14"/>
      <c r="WJR2" s="14"/>
      <c r="WJS2" s="14"/>
      <c r="WJT2" s="14"/>
      <c r="WJU2" s="14"/>
      <c r="WJV2" s="14"/>
      <c r="WJW2" s="14"/>
      <c r="WJX2" s="14"/>
      <c r="WJY2" s="14"/>
      <c r="WJZ2" s="14"/>
      <c r="WKA2" s="14"/>
      <c r="WKB2" s="14"/>
      <c r="WKC2" s="14"/>
      <c r="WKD2" s="14"/>
      <c r="WKE2" s="14"/>
      <c r="WKF2" s="14"/>
      <c r="WKG2" s="14"/>
      <c r="WKH2" s="14"/>
      <c r="WKI2" s="14"/>
      <c r="WKJ2" s="14"/>
      <c r="WKK2" s="14"/>
      <c r="WKL2" s="14"/>
      <c r="WKM2" s="14"/>
      <c r="WKN2" s="14"/>
      <c r="WKO2" s="14"/>
      <c r="WKP2" s="14"/>
      <c r="WKQ2" s="14"/>
      <c r="WKR2" s="14"/>
      <c r="WKS2" s="14"/>
      <c r="WKT2" s="14"/>
      <c r="WKU2" s="14"/>
      <c r="WKV2" s="14"/>
      <c r="WKW2" s="14"/>
      <c r="WKX2" s="14"/>
      <c r="WKY2" s="14"/>
      <c r="WKZ2" s="14"/>
      <c r="WLA2" s="14"/>
      <c r="WLB2" s="14"/>
      <c r="WLC2" s="14"/>
      <c r="WLD2" s="14"/>
      <c r="WLE2" s="14"/>
      <c r="WLF2" s="14"/>
      <c r="WLG2" s="14"/>
      <c r="WLH2" s="14"/>
      <c r="WLI2" s="14"/>
      <c r="WLJ2" s="14"/>
      <c r="WLK2" s="14"/>
      <c r="WLL2" s="14"/>
      <c r="WLM2" s="14"/>
      <c r="WLN2" s="14"/>
      <c r="WLO2" s="14"/>
      <c r="WLP2" s="14"/>
      <c r="WLQ2" s="14"/>
      <c r="WLR2" s="14"/>
      <c r="WLS2" s="14"/>
      <c r="WLT2" s="14"/>
      <c r="WLU2" s="14"/>
      <c r="WLV2" s="14"/>
      <c r="WLW2" s="14"/>
      <c r="WLX2" s="14"/>
      <c r="WLY2" s="14"/>
      <c r="WLZ2" s="14"/>
      <c r="WMA2" s="14"/>
      <c r="WMB2" s="14"/>
      <c r="WMC2" s="14"/>
      <c r="WMD2" s="14"/>
      <c r="WME2" s="14"/>
      <c r="WMF2" s="14"/>
      <c r="WMG2" s="14"/>
      <c r="WMH2" s="14"/>
      <c r="WMI2" s="14"/>
      <c r="WMJ2" s="14"/>
      <c r="WMK2" s="14"/>
      <c r="WML2" s="14"/>
      <c r="WMM2" s="14"/>
      <c r="WMN2" s="14"/>
      <c r="WMO2" s="14"/>
      <c r="WMP2" s="14"/>
      <c r="WMQ2" s="14"/>
      <c r="WMR2" s="14"/>
      <c r="WMS2" s="14"/>
      <c r="WMT2" s="14"/>
      <c r="WMU2" s="14"/>
      <c r="WMV2" s="14"/>
      <c r="WMW2" s="14"/>
      <c r="WMX2" s="14"/>
      <c r="WMY2" s="14"/>
      <c r="WMZ2" s="14"/>
      <c r="WNA2" s="14"/>
      <c r="WNB2" s="14"/>
      <c r="WNC2" s="14"/>
      <c r="WND2" s="14"/>
      <c r="WNE2" s="14"/>
      <c r="WNF2" s="14"/>
      <c r="WNG2" s="14"/>
      <c r="WNH2" s="14"/>
      <c r="WNI2" s="14"/>
      <c r="WNJ2" s="14"/>
      <c r="WNK2" s="14"/>
      <c r="WNL2" s="14"/>
      <c r="WNM2" s="14"/>
      <c r="WNN2" s="14"/>
      <c r="WNO2" s="14"/>
      <c r="WNP2" s="14"/>
      <c r="WNQ2" s="14"/>
      <c r="WNR2" s="14"/>
      <c r="WNS2" s="14"/>
      <c r="WNT2" s="14"/>
      <c r="WNU2" s="14"/>
      <c r="WNV2" s="14"/>
      <c r="WNW2" s="14"/>
      <c r="WNX2" s="14"/>
      <c r="WNY2" s="14"/>
      <c r="WNZ2" s="14"/>
      <c r="WOA2" s="14"/>
      <c r="WOB2" s="14"/>
      <c r="WOC2" s="14"/>
      <c r="WOD2" s="14"/>
      <c r="WOE2" s="14"/>
      <c r="WOF2" s="14"/>
      <c r="WOG2" s="14"/>
      <c r="WOH2" s="14"/>
      <c r="WOI2" s="14"/>
      <c r="WOJ2" s="14"/>
      <c r="WOK2" s="14"/>
      <c r="WOL2" s="14"/>
      <c r="WOM2" s="14"/>
      <c r="WON2" s="14"/>
      <c r="WOO2" s="14"/>
      <c r="WOP2" s="14"/>
      <c r="WOQ2" s="14"/>
      <c r="WOR2" s="14"/>
      <c r="WOS2" s="14"/>
      <c r="WOT2" s="14"/>
      <c r="WOU2" s="14"/>
      <c r="WOV2" s="14"/>
      <c r="WOW2" s="14"/>
      <c r="WOX2" s="14"/>
      <c r="WOY2" s="14"/>
      <c r="WOZ2" s="14"/>
      <c r="WPA2" s="14"/>
      <c r="WPB2" s="14"/>
      <c r="WPC2" s="14"/>
      <c r="WPD2" s="14"/>
      <c r="WPE2" s="14"/>
      <c r="WPF2" s="14"/>
      <c r="WPG2" s="14"/>
      <c r="WPH2" s="14"/>
      <c r="WPI2" s="14"/>
      <c r="WPJ2" s="14"/>
      <c r="WPK2" s="14"/>
      <c r="WPL2" s="14"/>
      <c r="WPM2" s="14"/>
      <c r="WPN2" s="14"/>
      <c r="WPO2" s="14"/>
      <c r="WPP2" s="14"/>
      <c r="WPQ2" s="14"/>
      <c r="WPR2" s="14"/>
      <c r="WPS2" s="14"/>
      <c r="WPT2" s="14"/>
      <c r="WPU2" s="14"/>
      <c r="WPV2" s="14"/>
      <c r="WPW2" s="14"/>
      <c r="WPX2" s="14"/>
      <c r="WPY2" s="14"/>
      <c r="WPZ2" s="14"/>
      <c r="WQA2" s="14"/>
      <c r="WQB2" s="14"/>
      <c r="WQC2" s="14"/>
      <c r="WQD2" s="14"/>
      <c r="WQE2" s="14"/>
      <c r="WQF2" s="14"/>
      <c r="WQG2" s="14"/>
      <c r="WQH2" s="14"/>
      <c r="WQI2" s="14"/>
      <c r="WQJ2" s="14"/>
      <c r="WQK2" s="14"/>
      <c r="WQL2" s="14"/>
      <c r="WQM2" s="14"/>
      <c r="WQN2" s="14"/>
      <c r="WQO2" s="14"/>
      <c r="WQP2" s="14"/>
      <c r="WQQ2" s="14"/>
      <c r="WQR2" s="14"/>
      <c r="WQS2" s="14"/>
      <c r="WQT2" s="14"/>
      <c r="WQU2" s="14"/>
      <c r="WQV2" s="14"/>
      <c r="WQW2" s="14"/>
      <c r="WQX2" s="14"/>
      <c r="WQY2" s="14"/>
      <c r="WQZ2" s="14"/>
      <c r="WRA2" s="14"/>
      <c r="WRB2" s="14"/>
      <c r="WRC2" s="14"/>
      <c r="WRD2" s="14"/>
      <c r="WRE2" s="14"/>
      <c r="WRF2" s="14"/>
      <c r="WRG2" s="14"/>
      <c r="WRH2" s="14"/>
      <c r="WRI2" s="14"/>
      <c r="WRJ2" s="14"/>
      <c r="WRK2" s="14"/>
      <c r="WRL2" s="14"/>
      <c r="WRM2" s="14"/>
      <c r="WRN2" s="14"/>
      <c r="WRO2" s="14"/>
      <c r="WRP2" s="14"/>
      <c r="WRQ2" s="14"/>
      <c r="WRR2" s="14"/>
      <c r="WRS2" s="14"/>
      <c r="WRT2" s="14"/>
      <c r="WRU2" s="14"/>
      <c r="WRV2" s="14"/>
      <c r="WRW2" s="14"/>
      <c r="WRX2" s="14"/>
      <c r="WRY2" s="14"/>
      <c r="WRZ2" s="14"/>
      <c r="WSA2" s="14"/>
      <c r="WSB2" s="14"/>
      <c r="WSC2" s="14"/>
      <c r="WSD2" s="14"/>
      <c r="WSE2" s="14"/>
      <c r="WSF2" s="14"/>
      <c r="WSG2" s="14"/>
      <c r="WSH2" s="14"/>
      <c r="WSI2" s="14"/>
      <c r="WSJ2" s="14"/>
      <c r="WSK2" s="14"/>
      <c r="WSL2" s="14"/>
      <c r="WSM2" s="14"/>
      <c r="WSN2" s="14"/>
      <c r="WSO2" s="14"/>
      <c r="WSP2" s="14"/>
      <c r="WSQ2" s="14"/>
      <c r="WSR2" s="14"/>
      <c r="WSS2" s="14"/>
      <c r="WST2" s="14"/>
      <c r="WSU2" s="14"/>
      <c r="WSV2" s="14"/>
      <c r="WSW2" s="14"/>
      <c r="WSX2" s="14"/>
      <c r="WSY2" s="14"/>
      <c r="WSZ2" s="14"/>
      <c r="WTA2" s="14"/>
      <c r="WTB2" s="14"/>
      <c r="WTC2" s="14"/>
      <c r="WTD2" s="14"/>
      <c r="WTE2" s="14"/>
      <c r="WTF2" s="14"/>
      <c r="WTG2" s="14"/>
      <c r="WTH2" s="14"/>
      <c r="WTI2" s="14"/>
      <c r="WTJ2" s="14"/>
      <c r="WTK2" s="14"/>
      <c r="WTL2" s="14"/>
      <c r="WTM2" s="14"/>
      <c r="WTN2" s="14"/>
      <c r="WTO2" s="14"/>
      <c r="WTP2" s="14"/>
      <c r="WTQ2" s="14"/>
      <c r="WTR2" s="14"/>
      <c r="WTS2" s="14"/>
      <c r="WTT2" s="14"/>
      <c r="WTU2" s="14"/>
      <c r="WTV2" s="14"/>
      <c r="WTW2" s="14"/>
      <c r="WTX2" s="14"/>
      <c r="WTY2" s="14"/>
      <c r="WTZ2" s="14"/>
      <c r="WUA2" s="14"/>
      <c r="WUB2" s="14"/>
      <c r="WUC2" s="14"/>
      <c r="WUD2" s="14"/>
      <c r="WUE2" s="14"/>
      <c r="WUF2" s="14"/>
      <c r="WUG2" s="14"/>
      <c r="WUH2" s="14"/>
      <c r="WUI2" s="14"/>
      <c r="WUJ2" s="14"/>
      <c r="WUK2" s="14"/>
      <c r="WUL2" s="14"/>
      <c r="WUM2" s="14"/>
      <c r="WUN2" s="14"/>
      <c r="WUO2" s="14"/>
      <c r="WUP2" s="14"/>
      <c r="WUQ2" s="14"/>
      <c r="WUR2" s="14"/>
      <c r="WUS2" s="14"/>
      <c r="WUT2" s="14"/>
      <c r="WUU2" s="14"/>
      <c r="WUV2" s="14"/>
      <c r="WUW2" s="14"/>
      <c r="WUX2" s="14"/>
      <c r="WUY2" s="14"/>
      <c r="WUZ2" s="14"/>
      <c r="WVA2" s="14"/>
      <c r="WVB2" s="14"/>
      <c r="WVC2" s="14"/>
      <c r="WVD2" s="14"/>
      <c r="WVE2" s="14"/>
      <c r="WVF2" s="14"/>
      <c r="WVG2" s="14"/>
      <c r="WVH2" s="14"/>
      <c r="WVI2" s="14"/>
      <c r="WVJ2" s="14"/>
      <c r="WVK2" s="14"/>
      <c r="WVL2" s="14"/>
      <c r="WVM2" s="14"/>
      <c r="WVN2" s="14"/>
      <c r="WVO2" s="14"/>
      <c r="WVP2" s="14"/>
      <c r="WVQ2" s="14"/>
      <c r="WVR2" s="14"/>
      <c r="WVS2" s="14"/>
      <c r="WVT2" s="14"/>
      <c r="WVU2" s="14"/>
      <c r="WVV2" s="14"/>
      <c r="WVW2" s="14"/>
      <c r="WVX2" s="14"/>
      <c r="WVY2" s="14"/>
      <c r="WVZ2" s="14"/>
      <c r="WWA2" s="14"/>
      <c r="WWB2" s="14"/>
      <c r="WWC2" s="14"/>
      <c r="WWD2" s="14"/>
      <c r="WWE2" s="14"/>
      <c r="WWF2" s="14"/>
      <c r="WWG2" s="14"/>
      <c r="WWH2" s="14"/>
      <c r="WWI2" s="14"/>
      <c r="WWJ2" s="14"/>
      <c r="WWK2" s="14"/>
      <c r="WWL2" s="14"/>
      <c r="WWM2" s="14"/>
      <c r="WWN2" s="14"/>
      <c r="WWO2" s="14"/>
      <c r="WWP2" s="14"/>
      <c r="WWQ2" s="14"/>
      <c r="WWR2" s="14"/>
      <c r="WWS2" s="14"/>
      <c r="WWT2" s="14"/>
      <c r="WWU2" s="14"/>
      <c r="WWV2" s="14"/>
      <c r="WWW2" s="14"/>
      <c r="WWX2" s="14"/>
      <c r="WWY2" s="14"/>
      <c r="WWZ2" s="14"/>
      <c r="WXA2" s="14"/>
      <c r="WXB2" s="14"/>
      <c r="WXC2" s="14"/>
      <c r="WXD2" s="14"/>
      <c r="WXE2" s="14"/>
      <c r="WXF2" s="14"/>
      <c r="WXG2" s="14"/>
      <c r="WXH2" s="14"/>
      <c r="WXI2" s="14"/>
      <c r="WXJ2" s="14"/>
      <c r="WXK2" s="14"/>
      <c r="WXL2" s="14"/>
      <c r="WXM2" s="14"/>
      <c r="WXN2" s="14"/>
      <c r="WXO2" s="14"/>
      <c r="WXP2" s="14"/>
      <c r="WXQ2" s="14"/>
      <c r="WXR2" s="14"/>
      <c r="WXS2" s="14"/>
      <c r="WXT2" s="14"/>
      <c r="WXU2" s="14"/>
      <c r="WXV2" s="14"/>
      <c r="WXW2" s="14"/>
      <c r="WXX2" s="14"/>
      <c r="WXY2" s="14"/>
      <c r="WXZ2" s="14"/>
      <c r="WYA2" s="14"/>
      <c r="WYB2" s="14"/>
      <c r="WYC2" s="14"/>
      <c r="WYD2" s="14"/>
      <c r="WYE2" s="14"/>
      <c r="WYF2" s="14"/>
      <c r="WYG2" s="14"/>
      <c r="WYH2" s="14"/>
      <c r="WYI2" s="14"/>
      <c r="WYJ2" s="14"/>
      <c r="WYK2" s="14"/>
      <c r="WYL2" s="14"/>
      <c r="WYM2" s="14"/>
      <c r="WYN2" s="14"/>
      <c r="WYO2" s="14"/>
      <c r="WYP2" s="14"/>
      <c r="WYQ2" s="14"/>
      <c r="WYR2" s="14"/>
      <c r="WYS2" s="14"/>
      <c r="WYT2" s="14"/>
      <c r="WYU2" s="14"/>
      <c r="WYV2" s="14"/>
      <c r="WYW2" s="14"/>
      <c r="WYX2" s="14"/>
      <c r="WYY2" s="14"/>
      <c r="WYZ2" s="14"/>
      <c r="WZA2" s="14"/>
      <c r="WZB2" s="14"/>
      <c r="WZC2" s="14"/>
      <c r="WZD2" s="14"/>
      <c r="WZE2" s="14"/>
      <c r="WZF2" s="14"/>
      <c r="WZG2" s="14"/>
      <c r="WZH2" s="14"/>
      <c r="WZI2" s="14"/>
      <c r="WZJ2" s="14"/>
      <c r="WZK2" s="14"/>
      <c r="WZL2" s="14"/>
      <c r="WZM2" s="14"/>
      <c r="WZN2" s="14"/>
      <c r="WZO2" s="14"/>
      <c r="WZP2" s="14"/>
      <c r="WZQ2" s="14"/>
      <c r="WZR2" s="14"/>
      <c r="WZS2" s="14"/>
      <c r="WZT2" s="14"/>
      <c r="WZU2" s="14"/>
      <c r="WZV2" s="14"/>
      <c r="WZW2" s="14"/>
      <c r="WZX2" s="14"/>
      <c r="WZY2" s="14"/>
      <c r="WZZ2" s="14"/>
      <c r="XAA2" s="14"/>
      <c r="XAB2" s="14"/>
      <c r="XAC2" s="14"/>
      <c r="XAD2" s="14"/>
      <c r="XAE2" s="14"/>
      <c r="XAF2" s="14"/>
      <c r="XAG2" s="14"/>
      <c r="XAH2" s="14"/>
      <c r="XAI2" s="14"/>
      <c r="XAJ2" s="14"/>
      <c r="XAK2" s="14"/>
      <c r="XAL2" s="14"/>
      <c r="XAM2" s="14"/>
      <c r="XAN2" s="14"/>
      <c r="XAO2" s="14"/>
      <c r="XAP2" s="14"/>
      <c r="XAQ2" s="14"/>
      <c r="XAR2" s="14"/>
      <c r="XAS2" s="14"/>
      <c r="XAT2" s="14"/>
      <c r="XAU2" s="14"/>
      <c r="XAV2" s="14"/>
      <c r="XAW2" s="14"/>
      <c r="XAX2" s="14"/>
      <c r="XAY2" s="14"/>
      <c r="XAZ2" s="14"/>
      <c r="XBA2" s="14"/>
      <c r="XBB2" s="14"/>
      <c r="XBC2" s="14"/>
      <c r="XBD2" s="14"/>
      <c r="XBE2" s="14"/>
      <c r="XBF2" s="14"/>
      <c r="XBG2" s="14"/>
      <c r="XBH2" s="14"/>
      <c r="XBI2" s="14"/>
      <c r="XBJ2" s="14"/>
      <c r="XBK2" s="14"/>
      <c r="XBL2" s="14"/>
      <c r="XBM2" s="14"/>
      <c r="XBN2" s="14"/>
      <c r="XBO2" s="14"/>
      <c r="XBP2" s="14"/>
      <c r="XBQ2" s="14"/>
      <c r="XBR2" s="14"/>
      <c r="XBS2" s="14"/>
      <c r="XBT2" s="14"/>
      <c r="XBU2" s="14"/>
      <c r="XBV2" s="14"/>
      <c r="XBW2" s="14"/>
      <c r="XBX2" s="14"/>
      <c r="XBY2" s="14"/>
      <c r="XBZ2" s="14"/>
      <c r="XCA2" s="14"/>
      <c r="XCB2" s="14"/>
      <c r="XCC2" s="14"/>
      <c r="XCD2" s="14"/>
      <c r="XCE2" s="14"/>
      <c r="XCF2" s="14"/>
      <c r="XCG2" s="14"/>
      <c r="XCH2" s="14"/>
      <c r="XCI2" s="14"/>
      <c r="XCJ2" s="14"/>
      <c r="XCK2" s="14"/>
      <c r="XCL2" s="14"/>
      <c r="XCM2" s="14"/>
      <c r="XCN2" s="14"/>
      <c r="XCO2" s="14"/>
      <c r="XCP2" s="14"/>
      <c r="XCQ2" s="14"/>
      <c r="XCR2" s="14"/>
      <c r="XCS2" s="14"/>
      <c r="XCT2" s="14"/>
      <c r="XCU2" s="14"/>
      <c r="XCV2" s="14"/>
      <c r="XCW2" s="14"/>
      <c r="XCX2" s="14"/>
      <c r="XCY2" s="14"/>
      <c r="XCZ2" s="14"/>
      <c r="XDA2" s="14"/>
      <c r="XDB2" s="14"/>
      <c r="XDC2" s="14"/>
      <c r="XDD2" s="14"/>
      <c r="XDE2" s="14"/>
      <c r="XDF2" s="14"/>
      <c r="XDG2" s="14"/>
      <c r="XDH2" s="14"/>
      <c r="XDI2" s="14"/>
      <c r="XDJ2" s="14"/>
      <c r="XDK2" s="14"/>
      <c r="XDL2" s="14"/>
      <c r="XDM2" s="14"/>
      <c r="XDN2" s="14"/>
      <c r="XDO2" s="14"/>
      <c r="XDP2" s="14"/>
      <c r="XDQ2" s="14"/>
      <c r="XDR2" s="14"/>
      <c r="XDS2" s="14"/>
      <c r="XDT2" s="14"/>
      <c r="XDU2" s="14"/>
      <c r="XDV2" s="14"/>
      <c r="XDW2" s="14"/>
      <c r="XDX2" s="14"/>
      <c r="XDY2" s="14"/>
      <c r="XDZ2" s="14"/>
      <c r="XEA2" s="14"/>
      <c r="XEB2" s="14"/>
      <c r="XEC2" s="14"/>
      <c r="XED2" s="14"/>
      <c r="XEE2" s="14"/>
      <c r="XEF2" s="14"/>
      <c r="XEG2" s="14"/>
      <c r="XEH2" s="14"/>
      <c r="XEI2" s="14"/>
      <c r="XEJ2" s="14"/>
      <c r="XEK2" s="14"/>
      <c r="XEL2" s="14"/>
      <c r="XEM2" s="14"/>
      <c r="XEN2" s="14"/>
      <c r="XEO2" s="14"/>
      <c r="XEP2" s="14"/>
      <c r="XEQ2" s="14"/>
      <c r="XER2" s="14"/>
      <c r="XES2" s="14"/>
      <c r="XET2" s="14"/>
      <c r="XEU2" s="14"/>
      <c r="XEV2" s="14"/>
      <c r="XEW2" s="14"/>
      <c r="XEX2" s="14"/>
      <c r="XEY2" s="14"/>
      <c r="XEZ2" s="14"/>
    </row>
    <row r="3" spans="1:16380" s="124" customFormat="1" ht="20">
      <c r="A3" s="534">
        <f>Reporting_Year</f>
        <v>2022</v>
      </c>
      <c r="B3" s="533" t="str">
        <f>'R5 - Financing'!B3</f>
        <v/>
      </c>
      <c r="C3" s="533"/>
      <c r="D3" s="533"/>
      <c r="E3" s="533"/>
      <c r="F3" s="533"/>
      <c r="G3" s="524"/>
      <c r="H3" s="524"/>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25"/>
      <c r="CZ3" s="525"/>
      <c r="DA3" s="525"/>
      <c r="DB3" s="525"/>
      <c r="DC3" s="525"/>
      <c r="DD3" s="525"/>
      <c r="DE3" s="525"/>
      <c r="DF3" s="525"/>
      <c r="DG3" s="525"/>
      <c r="DH3" s="525"/>
      <c r="DI3" s="525"/>
      <c r="DJ3" s="525"/>
      <c r="DK3" s="525"/>
      <c r="DL3" s="525"/>
      <c r="DM3" s="525"/>
      <c r="DN3" s="525"/>
      <c r="DO3" s="525"/>
      <c r="DP3" s="525"/>
      <c r="DQ3" s="525"/>
      <c r="DR3" s="525"/>
      <c r="DS3" s="525"/>
      <c r="DT3" s="525"/>
      <c r="DU3" s="525"/>
      <c r="DV3" s="525"/>
      <c r="DW3" s="525"/>
      <c r="DX3" s="525"/>
      <c r="DY3" s="525"/>
      <c r="DZ3" s="525"/>
      <c r="EA3" s="525"/>
      <c r="EB3" s="525"/>
      <c r="EC3" s="525"/>
      <c r="ED3" s="525"/>
      <c r="EE3" s="525"/>
      <c r="EF3" s="525"/>
      <c r="EG3" s="525"/>
      <c r="EH3" s="525"/>
      <c r="EI3" s="525"/>
      <c r="EJ3" s="525"/>
      <c r="EK3" s="525"/>
      <c r="EL3" s="525"/>
      <c r="EM3" s="525"/>
      <c r="EN3" s="525"/>
      <c r="EO3" s="525"/>
      <c r="EP3" s="525"/>
      <c r="EQ3" s="525"/>
      <c r="ER3" s="525"/>
      <c r="ES3" s="525"/>
      <c r="ET3" s="525"/>
      <c r="EU3" s="525"/>
      <c r="EV3" s="525"/>
      <c r="EW3" s="525"/>
      <c r="EX3" s="525"/>
      <c r="EY3" s="525"/>
      <c r="EZ3" s="525"/>
      <c r="FA3" s="525"/>
      <c r="FB3" s="525"/>
      <c r="FC3" s="525"/>
      <c r="FD3" s="525"/>
      <c r="FE3" s="525"/>
      <c r="FF3" s="525"/>
      <c r="FG3" s="525"/>
      <c r="FH3" s="525"/>
      <c r="FI3" s="525"/>
      <c r="FJ3" s="525"/>
      <c r="FK3" s="525"/>
      <c r="FL3" s="525"/>
      <c r="FM3" s="525"/>
      <c r="FN3" s="525"/>
      <c r="FO3" s="525"/>
      <c r="FP3" s="525"/>
      <c r="FQ3" s="525"/>
      <c r="FR3" s="525"/>
      <c r="FS3" s="525"/>
      <c r="FT3" s="525"/>
      <c r="FU3" s="525"/>
      <c r="FV3" s="525"/>
      <c r="FW3" s="525"/>
      <c r="FX3" s="525"/>
      <c r="FY3" s="525"/>
      <c r="FZ3" s="525"/>
      <c r="GA3" s="525"/>
      <c r="GB3" s="525"/>
      <c r="GC3" s="525"/>
      <c r="GD3" s="525"/>
      <c r="GE3" s="525"/>
      <c r="GF3" s="525"/>
      <c r="GG3" s="525"/>
      <c r="GH3" s="525"/>
      <c r="GI3" s="525"/>
      <c r="GJ3" s="525"/>
      <c r="GK3" s="525"/>
      <c r="GL3" s="525"/>
      <c r="GM3" s="525"/>
      <c r="GN3" s="525"/>
      <c r="GO3" s="525"/>
      <c r="GP3" s="525"/>
      <c r="GQ3" s="525"/>
      <c r="GR3" s="525"/>
      <c r="GS3" s="525"/>
      <c r="GT3" s="525"/>
      <c r="GU3" s="525"/>
      <c r="GV3" s="525"/>
      <c r="GW3" s="525"/>
      <c r="GX3" s="525"/>
      <c r="GY3" s="525"/>
      <c r="GZ3" s="525"/>
      <c r="HA3" s="525"/>
      <c r="HB3" s="525"/>
      <c r="HC3" s="525"/>
      <c r="HD3" s="525"/>
      <c r="HE3" s="525"/>
      <c r="HF3" s="525"/>
      <c r="HG3" s="525"/>
      <c r="HH3" s="525"/>
      <c r="HI3" s="525"/>
      <c r="HJ3" s="525"/>
      <c r="HK3" s="525"/>
      <c r="HL3" s="525"/>
      <c r="HM3" s="525"/>
      <c r="HN3" s="525"/>
      <c r="HO3" s="525"/>
      <c r="HP3" s="525"/>
      <c r="HQ3" s="525"/>
      <c r="HR3" s="525"/>
      <c r="HS3" s="525"/>
      <c r="HT3" s="525"/>
      <c r="HU3" s="525"/>
      <c r="HV3" s="525"/>
      <c r="HW3" s="525"/>
      <c r="HX3" s="525"/>
      <c r="HY3" s="525"/>
      <c r="HZ3" s="525"/>
      <c r="IA3" s="525"/>
      <c r="IB3" s="525"/>
      <c r="IC3" s="525"/>
      <c r="ID3" s="525"/>
      <c r="IE3" s="525"/>
      <c r="IF3" s="525"/>
      <c r="IG3" s="525"/>
      <c r="IH3" s="525"/>
      <c r="II3" s="525"/>
      <c r="IJ3" s="525"/>
      <c r="IK3" s="525"/>
      <c r="IL3" s="525"/>
      <c r="IM3" s="525"/>
      <c r="IN3" s="525"/>
      <c r="IO3" s="525"/>
      <c r="IP3" s="525"/>
      <c r="IQ3" s="525"/>
      <c r="IR3" s="525"/>
      <c r="IS3" s="525"/>
      <c r="IT3" s="525"/>
      <c r="IU3" s="525"/>
      <c r="IV3" s="525"/>
      <c r="IW3" s="525"/>
      <c r="IX3" s="525"/>
      <c r="IY3" s="525"/>
      <c r="IZ3" s="525"/>
      <c r="JA3" s="525"/>
      <c r="JB3" s="525"/>
      <c r="JC3" s="525"/>
      <c r="JD3" s="525"/>
      <c r="JE3" s="525"/>
      <c r="JF3" s="525"/>
      <c r="JG3" s="525"/>
      <c r="JH3" s="525"/>
      <c r="JI3" s="525"/>
      <c r="JJ3" s="525"/>
      <c r="JK3" s="525"/>
      <c r="JL3" s="525"/>
      <c r="JM3" s="525"/>
      <c r="JN3" s="525"/>
      <c r="JO3" s="525"/>
      <c r="JP3" s="525"/>
      <c r="JQ3" s="525"/>
      <c r="JR3" s="525"/>
      <c r="JS3" s="525"/>
      <c r="JT3" s="525"/>
      <c r="JU3" s="525"/>
      <c r="JV3" s="525"/>
      <c r="JW3" s="525"/>
      <c r="JX3" s="525"/>
      <c r="JY3" s="525"/>
      <c r="JZ3" s="525"/>
      <c r="KA3" s="525"/>
      <c r="KB3" s="525"/>
      <c r="KC3" s="525"/>
      <c r="KD3" s="525"/>
      <c r="KE3" s="525"/>
      <c r="KF3" s="525"/>
      <c r="KG3" s="525"/>
      <c r="KH3" s="525"/>
      <c r="KI3" s="525"/>
      <c r="KJ3" s="525"/>
      <c r="KK3" s="525"/>
      <c r="KL3" s="525"/>
      <c r="KM3" s="525"/>
      <c r="KN3" s="525"/>
      <c r="KO3" s="525"/>
      <c r="KP3" s="525"/>
      <c r="KQ3" s="525"/>
      <c r="KR3" s="525"/>
      <c r="KS3" s="525"/>
      <c r="KT3" s="525"/>
      <c r="KU3" s="525"/>
      <c r="KV3" s="525"/>
      <c r="KW3" s="525"/>
      <c r="KX3" s="525"/>
      <c r="KY3" s="525"/>
      <c r="KZ3" s="525"/>
      <c r="LA3" s="525"/>
      <c r="LB3" s="525"/>
      <c r="LC3" s="525"/>
      <c r="LD3" s="525"/>
      <c r="LE3" s="525"/>
      <c r="LF3" s="525"/>
      <c r="LG3" s="525"/>
      <c r="LH3" s="525"/>
      <c r="LI3" s="525"/>
      <c r="LJ3" s="525"/>
      <c r="LK3" s="525"/>
      <c r="LL3" s="525"/>
      <c r="LM3" s="525"/>
      <c r="LN3" s="525"/>
      <c r="LO3" s="525"/>
      <c r="LP3" s="525"/>
      <c r="LQ3" s="525"/>
      <c r="LR3" s="525"/>
      <c r="LS3" s="525"/>
      <c r="LT3" s="525"/>
      <c r="LU3" s="525"/>
      <c r="LV3" s="525"/>
      <c r="LW3" s="525"/>
      <c r="LX3" s="525"/>
      <c r="LY3" s="525"/>
      <c r="LZ3" s="525"/>
      <c r="MA3" s="525"/>
      <c r="MB3" s="525"/>
      <c r="MC3" s="525"/>
      <c r="MD3" s="525"/>
      <c r="ME3" s="525"/>
      <c r="MF3" s="525"/>
      <c r="MG3" s="525"/>
      <c r="MH3" s="525"/>
      <c r="MI3" s="525"/>
      <c r="MJ3" s="525"/>
      <c r="MK3" s="525"/>
      <c r="ML3" s="525"/>
      <c r="MM3" s="525"/>
      <c r="MN3" s="525"/>
      <c r="MO3" s="525"/>
      <c r="MP3" s="525"/>
      <c r="MQ3" s="525"/>
      <c r="MR3" s="525"/>
      <c r="MS3" s="525"/>
      <c r="MT3" s="525"/>
      <c r="MU3" s="525"/>
      <c r="MV3" s="525"/>
      <c r="MW3" s="525"/>
      <c r="MX3" s="525"/>
      <c r="MY3" s="525"/>
      <c r="MZ3" s="525"/>
      <c r="NA3" s="525"/>
      <c r="NB3" s="525"/>
      <c r="NC3" s="525"/>
      <c r="ND3" s="525"/>
      <c r="NE3" s="525"/>
      <c r="NF3" s="525"/>
      <c r="NG3" s="525"/>
      <c r="NH3" s="525"/>
      <c r="NI3" s="525"/>
      <c r="NJ3" s="525"/>
      <c r="NK3" s="525"/>
      <c r="NL3" s="525"/>
      <c r="NM3" s="525"/>
      <c r="NN3" s="525"/>
      <c r="NO3" s="525"/>
      <c r="NP3" s="525"/>
      <c r="NQ3" s="525"/>
      <c r="NR3" s="525"/>
      <c r="NS3" s="525"/>
      <c r="NT3" s="525"/>
      <c r="NU3" s="525"/>
      <c r="NV3" s="525"/>
      <c r="NW3" s="525"/>
      <c r="NX3" s="525"/>
      <c r="NY3" s="525"/>
      <c r="NZ3" s="525"/>
      <c r="OA3" s="525"/>
      <c r="OB3" s="525"/>
      <c r="OC3" s="525"/>
      <c r="OD3" s="525"/>
      <c r="OE3" s="525"/>
      <c r="OF3" s="525"/>
      <c r="OG3" s="525"/>
      <c r="OH3" s="525"/>
      <c r="OI3" s="525"/>
      <c r="OJ3" s="525"/>
      <c r="OK3" s="525"/>
      <c r="OL3" s="525"/>
      <c r="OM3" s="525"/>
      <c r="ON3" s="525"/>
      <c r="OO3" s="525"/>
      <c r="OP3" s="525"/>
      <c r="OQ3" s="525"/>
      <c r="OR3" s="525"/>
      <c r="OS3" s="525"/>
      <c r="OT3" s="525"/>
      <c r="OU3" s="525"/>
      <c r="OV3" s="525"/>
      <c r="OW3" s="525"/>
      <c r="OX3" s="525"/>
      <c r="OY3" s="525"/>
      <c r="OZ3" s="525"/>
      <c r="PA3" s="525"/>
      <c r="PB3" s="525"/>
      <c r="PC3" s="525"/>
      <c r="PD3" s="525"/>
      <c r="PE3" s="525"/>
      <c r="PF3" s="525"/>
      <c r="PG3" s="525"/>
      <c r="PH3" s="525"/>
      <c r="PI3" s="525"/>
      <c r="PJ3" s="525"/>
      <c r="PK3" s="525"/>
      <c r="PL3" s="525"/>
      <c r="PM3" s="525"/>
      <c r="PN3" s="525"/>
      <c r="PO3" s="525"/>
      <c r="PP3" s="525"/>
      <c r="PQ3" s="525"/>
      <c r="PR3" s="525"/>
      <c r="PS3" s="525"/>
      <c r="PT3" s="525"/>
      <c r="PU3" s="525"/>
      <c r="PV3" s="525"/>
      <c r="PW3" s="525"/>
      <c r="PX3" s="525"/>
      <c r="PY3" s="525"/>
      <c r="PZ3" s="525"/>
      <c r="QA3" s="525"/>
      <c r="QB3" s="525"/>
      <c r="QC3" s="525"/>
      <c r="QD3" s="525"/>
      <c r="QE3" s="525"/>
      <c r="QF3" s="525"/>
      <c r="QG3" s="525"/>
      <c r="QH3" s="525"/>
      <c r="QI3" s="525"/>
      <c r="QJ3" s="525"/>
      <c r="QK3" s="525"/>
      <c r="QL3" s="525"/>
      <c r="QM3" s="525"/>
      <c r="QN3" s="525"/>
      <c r="QO3" s="525"/>
      <c r="QP3" s="525"/>
      <c r="QQ3" s="525"/>
      <c r="QR3" s="525"/>
      <c r="QS3" s="525"/>
      <c r="QT3" s="525"/>
      <c r="QU3" s="525"/>
      <c r="QV3" s="525"/>
      <c r="QW3" s="525"/>
      <c r="QX3" s="525"/>
      <c r="QY3" s="525"/>
      <c r="QZ3" s="525"/>
      <c r="RA3" s="525"/>
      <c r="RB3" s="525"/>
      <c r="RC3" s="525"/>
      <c r="RD3" s="525"/>
      <c r="RE3" s="525"/>
      <c r="RF3" s="525"/>
      <c r="RG3" s="525"/>
      <c r="RH3" s="525"/>
      <c r="RI3" s="525"/>
      <c r="RJ3" s="525"/>
      <c r="RK3" s="525"/>
      <c r="RL3" s="525"/>
      <c r="RM3" s="525"/>
      <c r="RN3" s="525"/>
      <c r="RO3" s="525"/>
      <c r="RP3" s="525"/>
      <c r="RQ3" s="525"/>
      <c r="RR3" s="525"/>
      <c r="RS3" s="525"/>
      <c r="RT3" s="525"/>
      <c r="RU3" s="525"/>
      <c r="RV3" s="525"/>
      <c r="RW3" s="525"/>
      <c r="RX3" s="525"/>
      <c r="RY3" s="525"/>
      <c r="RZ3" s="525"/>
      <c r="SA3" s="525"/>
      <c r="SB3" s="525"/>
      <c r="SC3" s="525"/>
      <c r="SD3" s="525"/>
      <c r="SE3" s="525"/>
      <c r="SF3" s="525"/>
      <c r="SG3" s="525"/>
      <c r="SH3" s="525"/>
      <c r="SI3" s="525"/>
      <c r="SJ3" s="525"/>
      <c r="SK3" s="525"/>
      <c r="SL3" s="525"/>
      <c r="SM3" s="525"/>
      <c r="SN3" s="525"/>
      <c r="SO3" s="525"/>
      <c r="SP3" s="525"/>
      <c r="SQ3" s="525"/>
      <c r="SR3" s="525"/>
      <c r="SS3" s="525"/>
      <c r="ST3" s="525"/>
      <c r="SU3" s="525"/>
      <c r="SV3" s="525"/>
      <c r="SW3" s="525"/>
      <c r="SX3" s="525"/>
      <c r="SY3" s="525"/>
      <c r="SZ3" s="525"/>
      <c r="TA3" s="525"/>
      <c r="TB3" s="525"/>
      <c r="TC3" s="525"/>
      <c r="TD3" s="525"/>
      <c r="TE3" s="525"/>
      <c r="TF3" s="525"/>
      <c r="TG3" s="525"/>
      <c r="TH3" s="525"/>
      <c r="TI3" s="525"/>
      <c r="TJ3" s="525"/>
      <c r="TK3" s="525"/>
      <c r="TL3" s="525"/>
      <c r="TM3" s="525"/>
      <c r="TN3" s="525"/>
      <c r="TO3" s="525"/>
      <c r="TP3" s="525"/>
      <c r="TQ3" s="525"/>
      <c r="TR3" s="525"/>
      <c r="TS3" s="525"/>
      <c r="TT3" s="525"/>
      <c r="TU3" s="525"/>
      <c r="TV3" s="525"/>
      <c r="TW3" s="525"/>
      <c r="TX3" s="525"/>
      <c r="TY3" s="525"/>
      <c r="TZ3" s="525"/>
      <c r="UA3" s="525"/>
      <c r="UB3" s="525"/>
      <c r="UC3" s="525"/>
      <c r="UD3" s="525"/>
      <c r="UE3" s="525"/>
      <c r="UF3" s="525"/>
      <c r="UG3" s="525"/>
      <c r="UH3" s="525"/>
      <c r="UI3" s="525"/>
      <c r="UJ3" s="525"/>
      <c r="UK3" s="525"/>
      <c r="UL3" s="525"/>
      <c r="UM3" s="525"/>
      <c r="UN3" s="525"/>
      <c r="UO3" s="525"/>
      <c r="UP3" s="525"/>
      <c r="UQ3" s="525"/>
      <c r="UR3" s="525"/>
      <c r="US3" s="525"/>
      <c r="UT3" s="525"/>
      <c r="UU3" s="525"/>
      <c r="UV3" s="525"/>
      <c r="UW3" s="525"/>
      <c r="UX3" s="525"/>
      <c r="UY3" s="525"/>
      <c r="UZ3" s="525"/>
      <c r="VA3" s="525"/>
      <c r="VB3" s="525"/>
      <c r="VC3" s="525"/>
      <c r="VD3" s="525"/>
      <c r="VE3" s="525"/>
      <c r="VF3" s="525"/>
      <c r="VG3" s="525"/>
      <c r="VH3" s="525"/>
      <c r="VI3" s="525"/>
      <c r="VJ3" s="525"/>
      <c r="VK3" s="525"/>
      <c r="VL3" s="525"/>
      <c r="VM3" s="525"/>
      <c r="VN3" s="525"/>
      <c r="VO3" s="525"/>
      <c r="VP3" s="525"/>
      <c r="VQ3" s="525"/>
      <c r="VR3" s="525"/>
      <c r="VS3" s="525"/>
      <c r="VT3" s="525"/>
      <c r="VU3" s="525"/>
      <c r="VV3" s="525"/>
      <c r="VW3" s="525"/>
      <c r="VX3" s="525"/>
      <c r="VY3" s="525"/>
      <c r="VZ3" s="525"/>
      <c r="WA3" s="525"/>
      <c r="WB3" s="525"/>
      <c r="WC3" s="525"/>
      <c r="WD3" s="525"/>
      <c r="WE3" s="525"/>
      <c r="WF3" s="525"/>
      <c r="WG3" s="525"/>
      <c r="WH3" s="525"/>
      <c r="WI3" s="525"/>
      <c r="WJ3" s="525"/>
      <c r="WK3" s="525"/>
      <c r="WL3" s="525"/>
      <c r="WM3" s="525"/>
      <c r="WN3" s="525"/>
      <c r="WO3" s="525"/>
      <c r="WP3" s="525"/>
      <c r="WQ3" s="525"/>
      <c r="WR3" s="525"/>
      <c r="WS3" s="525"/>
      <c r="WT3" s="525"/>
      <c r="WU3" s="525"/>
      <c r="WV3" s="525"/>
      <c r="WW3" s="525"/>
      <c r="WX3" s="525"/>
      <c r="WY3" s="525"/>
      <c r="WZ3" s="525"/>
      <c r="XA3" s="525"/>
      <c r="XB3" s="525"/>
      <c r="XC3" s="525"/>
      <c r="XD3" s="525"/>
      <c r="XE3" s="525"/>
      <c r="XF3" s="525"/>
      <c r="XG3" s="525"/>
      <c r="XH3" s="525"/>
      <c r="XI3" s="525"/>
      <c r="XJ3" s="525"/>
      <c r="XK3" s="525"/>
      <c r="XL3" s="525"/>
      <c r="XM3" s="525"/>
      <c r="XN3" s="525"/>
      <c r="XO3" s="525"/>
      <c r="XP3" s="525"/>
      <c r="XQ3" s="525"/>
      <c r="XR3" s="525"/>
      <c r="XS3" s="525"/>
      <c r="XT3" s="525"/>
      <c r="XU3" s="525"/>
      <c r="XV3" s="525"/>
      <c r="XW3" s="525"/>
      <c r="XX3" s="525"/>
      <c r="XY3" s="525"/>
      <c r="XZ3" s="525"/>
      <c r="YA3" s="525"/>
      <c r="YB3" s="525"/>
      <c r="YC3" s="525"/>
      <c r="YD3" s="525"/>
      <c r="YE3" s="525"/>
      <c r="YF3" s="525"/>
      <c r="YG3" s="525"/>
      <c r="YH3" s="525"/>
      <c r="YI3" s="525"/>
      <c r="YJ3" s="525"/>
      <c r="YK3" s="525"/>
      <c r="YL3" s="525"/>
      <c r="YM3" s="525"/>
      <c r="YN3" s="525"/>
      <c r="YO3" s="525"/>
      <c r="YP3" s="525"/>
      <c r="YQ3" s="525"/>
      <c r="YR3" s="525"/>
      <c r="YS3" s="525"/>
      <c r="YT3" s="525"/>
      <c r="YU3" s="525"/>
      <c r="YV3" s="525"/>
      <c r="YW3" s="525"/>
      <c r="YX3" s="525"/>
      <c r="YY3" s="525"/>
      <c r="YZ3" s="525"/>
      <c r="ZA3" s="525"/>
      <c r="ZB3" s="525"/>
      <c r="ZC3" s="525"/>
      <c r="ZD3" s="525"/>
      <c r="ZE3" s="525"/>
      <c r="ZF3" s="525"/>
      <c r="ZG3" s="525"/>
      <c r="ZH3" s="525"/>
      <c r="ZI3" s="525"/>
      <c r="ZJ3" s="525"/>
      <c r="ZK3" s="525"/>
      <c r="ZL3" s="525"/>
      <c r="ZM3" s="525"/>
      <c r="ZN3" s="525"/>
      <c r="ZO3" s="525"/>
      <c r="ZP3" s="525"/>
      <c r="ZQ3" s="525"/>
      <c r="ZR3" s="525"/>
      <c r="ZS3" s="525"/>
      <c r="ZT3" s="525"/>
      <c r="ZU3" s="525"/>
      <c r="ZV3" s="525"/>
      <c r="ZW3" s="525"/>
      <c r="ZX3" s="525"/>
      <c r="ZY3" s="525"/>
      <c r="ZZ3" s="525"/>
      <c r="AAA3" s="525"/>
      <c r="AAB3" s="525"/>
      <c r="AAC3" s="525"/>
      <c r="AAD3" s="525"/>
      <c r="AAE3" s="525"/>
      <c r="AAF3" s="525"/>
      <c r="AAG3" s="525"/>
      <c r="AAH3" s="525"/>
      <c r="AAI3" s="525"/>
      <c r="AAJ3" s="525"/>
      <c r="AAK3" s="525"/>
      <c r="AAL3" s="525"/>
      <c r="AAM3" s="525"/>
      <c r="AAN3" s="525"/>
      <c r="AAO3" s="525"/>
      <c r="AAP3" s="525"/>
      <c r="AAQ3" s="525"/>
      <c r="AAR3" s="525"/>
      <c r="AAS3" s="525"/>
      <c r="AAT3" s="525"/>
      <c r="AAU3" s="525"/>
      <c r="AAV3" s="525"/>
      <c r="AAW3" s="525"/>
      <c r="AAX3" s="525"/>
      <c r="AAY3" s="525"/>
      <c r="AAZ3" s="525"/>
      <c r="ABA3" s="525"/>
      <c r="ABB3" s="525"/>
      <c r="ABC3" s="525"/>
      <c r="ABD3" s="525"/>
      <c r="ABE3" s="525"/>
      <c r="ABF3" s="525"/>
      <c r="ABG3" s="525"/>
      <c r="ABH3" s="525"/>
      <c r="ABI3" s="525"/>
      <c r="ABJ3" s="525"/>
      <c r="ABK3" s="525"/>
      <c r="ABL3" s="525"/>
      <c r="ABM3" s="525"/>
      <c r="ABN3" s="525"/>
      <c r="ABO3" s="525"/>
      <c r="ABP3" s="525"/>
      <c r="ABQ3" s="525"/>
      <c r="ABR3" s="525"/>
      <c r="ABS3" s="525"/>
      <c r="ABT3" s="525"/>
      <c r="ABU3" s="525"/>
      <c r="ABV3" s="525"/>
      <c r="ABW3" s="525"/>
      <c r="ABX3" s="525"/>
      <c r="ABY3" s="525"/>
      <c r="ABZ3" s="525"/>
      <c r="ACA3" s="525"/>
      <c r="ACB3" s="525"/>
      <c r="ACC3" s="525"/>
      <c r="ACD3" s="525"/>
      <c r="ACE3" s="525"/>
      <c r="ACF3" s="525"/>
      <c r="ACG3" s="525"/>
      <c r="ACH3" s="525"/>
      <c r="ACI3" s="525"/>
      <c r="ACJ3" s="525"/>
      <c r="ACK3" s="525"/>
      <c r="ACL3" s="525"/>
      <c r="ACM3" s="525"/>
      <c r="ACN3" s="525"/>
      <c r="ACO3" s="525"/>
      <c r="ACP3" s="525"/>
      <c r="ACQ3" s="525"/>
      <c r="ACR3" s="525"/>
      <c r="ACS3" s="525"/>
      <c r="ACT3" s="525"/>
      <c r="ACU3" s="525"/>
      <c r="ACV3" s="525"/>
      <c r="ACW3" s="525"/>
      <c r="ACX3" s="525"/>
      <c r="ACY3" s="525"/>
      <c r="ACZ3" s="525"/>
      <c r="ADA3" s="525"/>
      <c r="ADB3" s="525"/>
      <c r="ADC3" s="525"/>
      <c r="ADD3" s="525"/>
      <c r="ADE3" s="525"/>
      <c r="ADF3" s="525"/>
      <c r="ADG3" s="525"/>
      <c r="ADH3" s="525"/>
      <c r="ADI3" s="525"/>
      <c r="ADJ3" s="525"/>
      <c r="ADK3" s="525"/>
      <c r="ADL3" s="525"/>
      <c r="ADM3" s="525"/>
      <c r="ADN3" s="525"/>
      <c r="ADO3" s="525"/>
      <c r="ADP3" s="525"/>
      <c r="ADQ3" s="525"/>
      <c r="ADR3" s="525"/>
      <c r="ADS3" s="525"/>
      <c r="ADT3" s="525"/>
      <c r="ADU3" s="525"/>
      <c r="ADV3" s="525"/>
      <c r="ADW3" s="525"/>
      <c r="ADX3" s="525"/>
      <c r="ADY3" s="525"/>
      <c r="ADZ3" s="525"/>
      <c r="AEA3" s="525"/>
      <c r="AEB3" s="525"/>
      <c r="AEC3" s="525"/>
      <c r="AED3" s="525"/>
      <c r="AEE3" s="525"/>
      <c r="AEF3" s="525"/>
      <c r="AEG3" s="525"/>
      <c r="AEH3" s="525"/>
      <c r="AEI3" s="525"/>
      <c r="AEJ3" s="525"/>
      <c r="AEK3" s="525"/>
      <c r="AEL3" s="525"/>
      <c r="AEM3" s="525"/>
      <c r="AEN3" s="525"/>
      <c r="AEO3" s="525"/>
      <c r="AEP3" s="525"/>
      <c r="AEQ3" s="525"/>
      <c r="AER3" s="525"/>
      <c r="AES3" s="525"/>
      <c r="AET3" s="525"/>
      <c r="AEU3" s="525"/>
      <c r="AEV3" s="525"/>
      <c r="AEW3" s="525"/>
      <c r="AEX3" s="525"/>
      <c r="AEY3" s="525"/>
      <c r="AEZ3" s="525"/>
      <c r="AFA3" s="525"/>
      <c r="AFB3" s="525"/>
      <c r="AFC3" s="525"/>
      <c r="AFD3" s="525"/>
      <c r="AFE3" s="525"/>
      <c r="AFF3" s="525"/>
      <c r="AFG3" s="525"/>
      <c r="AFH3" s="525"/>
      <c r="AFI3" s="525"/>
      <c r="AFJ3" s="525"/>
      <c r="AFK3" s="525"/>
      <c r="AFL3" s="525"/>
      <c r="AFM3" s="525"/>
      <c r="AFN3" s="525"/>
      <c r="AFO3" s="525"/>
      <c r="AFP3" s="525"/>
      <c r="AFQ3" s="525"/>
      <c r="AFR3" s="525"/>
      <c r="AFS3" s="525"/>
      <c r="AFT3" s="525"/>
      <c r="AFU3" s="525"/>
      <c r="AFV3" s="525"/>
      <c r="AFW3" s="525"/>
      <c r="AFX3" s="525"/>
      <c r="AFY3" s="525"/>
      <c r="AFZ3" s="525"/>
      <c r="AGA3" s="525"/>
      <c r="AGB3" s="525"/>
      <c r="AGC3" s="525"/>
      <c r="AGD3" s="525"/>
      <c r="AGE3" s="525"/>
      <c r="AGF3" s="525"/>
      <c r="AGG3" s="525"/>
      <c r="AGH3" s="525"/>
      <c r="AGI3" s="525"/>
      <c r="AGJ3" s="525"/>
      <c r="AGK3" s="525"/>
      <c r="AGL3" s="525"/>
      <c r="AGM3" s="525"/>
      <c r="AGN3" s="525"/>
      <c r="AGO3" s="525"/>
      <c r="AGP3" s="525"/>
      <c r="AGQ3" s="525"/>
      <c r="AGR3" s="525"/>
      <c r="AGS3" s="525"/>
      <c r="AGT3" s="525"/>
      <c r="AGU3" s="525"/>
      <c r="AGV3" s="525"/>
      <c r="AGW3" s="525"/>
      <c r="AGX3" s="525"/>
      <c r="AGY3" s="525"/>
      <c r="AGZ3" s="525"/>
      <c r="AHA3" s="525"/>
      <c r="AHB3" s="525"/>
      <c r="AHC3" s="525"/>
      <c r="AHD3" s="525"/>
      <c r="AHE3" s="525"/>
      <c r="AHF3" s="525"/>
      <c r="AHG3" s="525"/>
      <c r="AHH3" s="525"/>
      <c r="AHI3" s="525"/>
      <c r="AHJ3" s="525"/>
      <c r="AHK3" s="525"/>
      <c r="AHL3" s="525"/>
      <c r="AHM3" s="525"/>
      <c r="AHN3" s="525"/>
      <c r="AHO3" s="525"/>
      <c r="AHP3" s="525"/>
      <c r="AHQ3" s="525"/>
      <c r="AHR3" s="525"/>
      <c r="AHS3" s="525"/>
      <c r="AHT3" s="525"/>
      <c r="AHU3" s="525"/>
      <c r="AHV3" s="525"/>
      <c r="AHW3" s="525"/>
      <c r="AHX3" s="525"/>
      <c r="AHY3" s="525"/>
      <c r="AHZ3" s="525"/>
      <c r="AIA3" s="525"/>
      <c r="AIB3" s="525"/>
      <c r="AIC3" s="525"/>
      <c r="AID3" s="525"/>
      <c r="AIE3" s="525"/>
      <c r="AIF3" s="525"/>
      <c r="AIG3" s="525"/>
      <c r="AIH3" s="525"/>
      <c r="AII3" s="525"/>
      <c r="AIJ3" s="525"/>
      <c r="AIK3" s="525"/>
      <c r="AIL3" s="525"/>
      <c r="AIM3" s="525"/>
      <c r="AIN3" s="525"/>
      <c r="AIO3" s="525"/>
      <c r="AIP3" s="525"/>
      <c r="AIQ3" s="525"/>
      <c r="AIR3" s="525"/>
      <c r="AIS3" s="525"/>
      <c r="AIT3" s="525"/>
      <c r="AIU3" s="525"/>
      <c r="AIV3" s="525"/>
      <c r="AIW3" s="525"/>
      <c r="AIX3" s="525"/>
      <c r="AIY3" s="525"/>
      <c r="AIZ3" s="525"/>
      <c r="AJA3" s="525"/>
      <c r="AJB3" s="525"/>
      <c r="AJC3" s="525"/>
      <c r="AJD3" s="525"/>
      <c r="AJE3" s="525"/>
      <c r="AJF3" s="525"/>
      <c r="AJG3" s="525"/>
      <c r="AJH3" s="525"/>
      <c r="AJI3" s="525"/>
      <c r="AJJ3" s="525"/>
      <c r="AJK3" s="525"/>
      <c r="AJL3" s="525"/>
      <c r="AJM3" s="525"/>
      <c r="AJN3" s="525"/>
      <c r="AJO3" s="525"/>
      <c r="AJP3" s="525"/>
      <c r="AJQ3" s="525"/>
      <c r="AJR3" s="525"/>
      <c r="AJS3" s="525"/>
      <c r="AJT3" s="525"/>
      <c r="AJU3" s="525"/>
      <c r="AJV3" s="525"/>
      <c r="AJW3" s="525"/>
      <c r="AJX3" s="525"/>
      <c r="AJY3" s="525"/>
      <c r="AJZ3" s="525"/>
      <c r="AKA3" s="525"/>
      <c r="AKB3" s="525"/>
      <c r="AKC3" s="525"/>
      <c r="AKD3" s="525"/>
      <c r="AKE3" s="525"/>
      <c r="AKF3" s="525"/>
      <c r="AKG3" s="525"/>
      <c r="AKH3" s="525"/>
      <c r="AKI3" s="525"/>
      <c r="AKJ3" s="525"/>
      <c r="AKK3" s="525"/>
      <c r="AKL3" s="525"/>
      <c r="AKM3" s="525"/>
      <c r="AKN3" s="525"/>
      <c r="AKO3" s="525"/>
      <c r="AKP3" s="525"/>
      <c r="AKQ3" s="525"/>
      <c r="AKR3" s="525"/>
      <c r="AKS3" s="525"/>
      <c r="AKT3" s="525"/>
      <c r="AKU3" s="525"/>
      <c r="AKV3" s="525"/>
      <c r="AKW3" s="525"/>
      <c r="AKX3" s="525"/>
      <c r="AKY3" s="525"/>
      <c r="AKZ3" s="525"/>
      <c r="ALA3" s="525"/>
      <c r="ALB3" s="525"/>
      <c r="ALC3" s="525"/>
      <c r="ALD3" s="525"/>
      <c r="ALE3" s="525"/>
      <c r="ALF3" s="525"/>
      <c r="ALG3" s="525"/>
      <c r="ALH3" s="525"/>
      <c r="ALI3" s="525"/>
      <c r="ALJ3" s="525"/>
      <c r="ALK3" s="525"/>
      <c r="ALL3" s="525"/>
      <c r="ALM3" s="525"/>
      <c r="ALN3" s="525"/>
      <c r="ALO3" s="525"/>
      <c r="ALP3" s="525"/>
      <c r="ALQ3" s="525"/>
      <c r="ALR3" s="525"/>
      <c r="ALS3" s="525"/>
      <c r="ALT3" s="525"/>
      <c r="ALU3" s="525"/>
      <c r="ALV3" s="525"/>
      <c r="ALW3" s="525"/>
      <c r="ALX3" s="525"/>
      <c r="ALY3" s="525"/>
      <c r="ALZ3" s="525"/>
      <c r="AMA3" s="525"/>
      <c r="AMB3" s="525"/>
      <c r="AMC3" s="525"/>
      <c r="AMD3" s="525"/>
      <c r="AME3" s="525"/>
      <c r="AMF3" s="525"/>
      <c r="AMG3" s="525"/>
      <c r="AMH3" s="525"/>
      <c r="AMI3" s="525"/>
      <c r="AMJ3" s="525"/>
      <c r="AMK3" s="525"/>
      <c r="AML3" s="525"/>
      <c r="AMM3" s="525"/>
      <c r="AMN3" s="525"/>
      <c r="AMO3" s="525"/>
      <c r="AMP3" s="525"/>
      <c r="AMQ3" s="525"/>
      <c r="AMR3" s="525"/>
      <c r="AMS3" s="525"/>
      <c r="AMT3" s="525"/>
      <c r="AMU3" s="525"/>
      <c r="AMV3" s="525"/>
      <c r="AMW3" s="525"/>
      <c r="AMX3" s="525"/>
      <c r="AMY3" s="525"/>
      <c r="AMZ3" s="525"/>
      <c r="ANA3" s="525"/>
      <c r="ANB3" s="525"/>
      <c r="ANC3" s="525"/>
      <c r="AND3" s="525"/>
      <c r="ANE3" s="525"/>
      <c r="ANF3" s="525"/>
      <c r="ANG3" s="525"/>
      <c r="ANH3" s="525"/>
      <c r="ANI3" s="525"/>
      <c r="ANJ3" s="525"/>
      <c r="ANK3" s="525"/>
      <c r="ANL3" s="525"/>
      <c r="ANM3" s="525"/>
      <c r="ANN3" s="525"/>
      <c r="ANO3" s="525"/>
      <c r="ANP3" s="525"/>
      <c r="ANQ3" s="525"/>
      <c r="ANR3" s="525"/>
      <c r="ANS3" s="525"/>
      <c r="ANT3" s="525"/>
      <c r="ANU3" s="525"/>
      <c r="ANV3" s="525"/>
      <c r="ANW3" s="525"/>
      <c r="ANX3" s="525"/>
      <c r="ANY3" s="525"/>
      <c r="ANZ3" s="525"/>
      <c r="AOA3" s="525"/>
      <c r="AOB3" s="525"/>
      <c r="AOC3" s="525"/>
      <c r="AOD3" s="525"/>
      <c r="AOE3" s="525"/>
      <c r="AOF3" s="525"/>
      <c r="AOG3" s="525"/>
      <c r="AOH3" s="525"/>
      <c r="AOI3" s="525"/>
      <c r="AOJ3" s="525"/>
      <c r="AOK3" s="525"/>
      <c r="AOL3" s="525"/>
      <c r="AOM3" s="525"/>
      <c r="AON3" s="525"/>
      <c r="AOO3" s="525"/>
      <c r="AOP3" s="525"/>
      <c r="AOQ3" s="525"/>
      <c r="AOR3" s="525"/>
      <c r="AOS3" s="525"/>
      <c r="AOT3" s="525"/>
      <c r="AOU3" s="525"/>
      <c r="AOV3" s="525"/>
      <c r="AOW3" s="525"/>
      <c r="AOX3" s="525"/>
      <c r="AOY3" s="525"/>
      <c r="AOZ3" s="525"/>
      <c r="APA3" s="525"/>
      <c r="APB3" s="525"/>
      <c r="APC3" s="525"/>
      <c r="APD3" s="525"/>
      <c r="APE3" s="525"/>
      <c r="APF3" s="525"/>
      <c r="APG3" s="525"/>
      <c r="APH3" s="525"/>
      <c r="API3" s="525"/>
      <c r="APJ3" s="525"/>
      <c r="APK3" s="525"/>
      <c r="APL3" s="525"/>
      <c r="APM3" s="525"/>
      <c r="APN3" s="525"/>
      <c r="APO3" s="525"/>
      <c r="APP3" s="525"/>
      <c r="APQ3" s="525"/>
      <c r="APR3" s="525"/>
      <c r="APS3" s="525"/>
      <c r="APT3" s="525"/>
      <c r="APU3" s="525"/>
      <c r="APV3" s="525"/>
      <c r="APW3" s="525"/>
      <c r="APX3" s="525"/>
      <c r="APY3" s="525"/>
      <c r="APZ3" s="525"/>
      <c r="AQA3" s="525"/>
      <c r="AQB3" s="525"/>
      <c r="AQC3" s="525"/>
      <c r="AQD3" s="525"/>
      <c r="AQE3" s="525"/>
      <c r="AQF3" s="525"/>
      <c r="AQG3" s="525"/>
      <c r="AQH3" s="525"/>
      <c r="AQI3" s="525"/>
      <c r="AQJ3" s="525"/>
      <c r="AQK3" s="525"/>
      <c r="AQL3" s="525"/>
      <c r="AQM3" s="525"/>
      <c r="AQN3" s="525"/>
      <c r="AQO3" s="525"/>
      <c r="AQP3" s="525"/>
      <c r="AQQ3" s="525"/>
      <c r="AQR3" s="525"/>
      <c r="AQS3" s="525"/>
      <c r="AQT3" s="525"/>
      <c r="AQU3" s="525"/>
      <c r="AQV3" s="525"/>
      <c r="AQW3" s="525"/>
      <c r="AQX3" s="525"/>
      <c r="AQY3" s="525"/>
      <c r="AQZ3" s="525"/>
      <c r="ARA3" s="525"/>
      <c r="ARB3" s="525"/>
      <c r="ARC3" s="525"/>
      <c r="ARD3" s="525"/>
      <c r="ARE3" s="525"/>
      <c r="ARF3" s="525"/>
      <c r="ARG3" s="525"/>
      <c r="ARH3" s="525"/>
      <c r="ARI3" s="525"/>
      <c r="ARJ3" s="525"/>
      <c r="ARK3" s="525"/>
      <c r="ARL3" s="525"/>
      <c r="ARM3" s="525"/>
      <c r="ARN3" s="525"/>
      <c r="ARO3" s="525"/>
      <c r="ARP3" s="525"/>
      <c r="ARQ3" s="525"/>
      <c r="ARR3" s="525"/>
      <c r="ARS3" s="525"/>
      <c r="ART3" s="525"/>
      <c r="ARU3" s="525"/>
      <c r="ARV3" s="525"/>
      <c r="ARW3" s="525"/>
      <c r="ARX3" s="525"/>
      <c r="ARY3" s="525"/>
      <c r="ARZ3" s="525"/>
      <c r="ASA3" s="525"/>
      <c r="ASB3" s="525"/>
      <c r="ASC3" s="525"/>
      <c r="ASD3" s="525"/>
      <c r="ASE3" s="525"/>
      <c r="ASF3" s="525"/>
      <c r="ASG3" s="525"/>
      <c r="ASH3" s="525"/>
      <c r="ASI3" s="525"/>
      <c r="ASJ3" s="525"/>
      <c r="ASK3" s="525"/>
      <c r="ASL3" s="525"/>
      <c r="ASM3" s="525"/>
      <c r="ASN3" s="525"/>
      <c r="ASO3" s="525"/>
      <c r="ASP3" s="525"/>
      <c r="ASQ3" s="525"/>
      <c r="ASR3" s="525"/>
      <c r="ASS3" s="525"/>
      <c r="AST3" s="525"/>
      <c r="ASU3" s="525"/>
      <c r="ASV3" s="525"/>
      <c r="ASW3" s="525"/>
      <c r="ASX3" s="525"/>
      <c r="ASY3" s="525"/>
      <c r="ASZ3" s="525"/>
      <c r="ATA3" s="525"/>
      <c r="ATB3" s="525"/>
      <c r="ATC3" s="525"/>
      <c r="ATD3" s="525"/>
      <c r="ATE3" s="525"/>
      <c r="ATF3" s="525"/>
      <c r="ATG3" s="525"/>
      <c r="ATH3" s="525"/>
      <c r="ATI3" s="525"/>
      <c r="ATJ3" s="525"/>
      <c r="ATK3" s="525"/>
      <c r="ATL3" s="525"/>
      <c r="ATM3" s="525"/>
      <c r="ATN3" s="525"/>
      <c r="ATO3" s="525"/>
      <c r="ATP3" s="525"/>
      <c r="ATQ3" s="525"/>
      <c r="ATR3" s="525"/>
      <c r="ATS3" s="525"/>
      <c r="ATT3" s="525"/>
      <c r="ATU3" s="525"/>
      <c r="ATV3" s="525"/>
      <c r="ATW3" s="525"/>
      <c r="ATX3" s="525"/>
      <c r="ATY3" s="525"/>
      <c r="ATZ3" s="525"/>
      <c r="AUA3" s="525"/>
      <c r="AUB3" s="525"/>
      <c r="AUC3" s="525"/>
      <c r="AUD3" s="525"/>
      <c r="AUE3" s="525"/>
      <c r="AUF3" s="525"/>
      <c r="AUG3" s="525"/>
      <c r="AUH3" s="525"/>
      <c r="AUI3" s="525"/>
      <c r="AUJ3" s="525"/>
      <c r="AUK3" s="525"/>
      <c r="AUL3" s="525"/>
      <c r="AUM3" s="525"/>
      <c r="AUN3" s="525"/>
      <c r="AUO3" s="525"/>
      <c r="AUP3" s="525"/>
      <c r="AUQ3" s="525"/>
      <c r="AUR3" s="525"/>
      <c r="AUS3" s="525"/>
      <c r="AUT3" s="525"/>
      <c r="AUU3" s="525"/>
      <c r="AUV3" s="525"/>
      <c r="AUW3" s="525"/>
      <c r="AUX3" s="525"/>
      <c r="AUY3" s="525"/>
      <c r="AUZ3" s="525"/>
      <c r="AVA3" s="525"/>
      <c r="AVB3" s="525"/>
      <c r="AVC3" s="525"/>
      <c r="AVD3" s="525"/>
      <c r="AVE3" s="525"/>
      <c r="AVF3" s="525"/>
      <c r="AVG3" s="525"/>
      <c r="AVH3" s="525"/>
      <c r="AVI3" s="525"/>
      <c r="AVJ3" s="525"/>
      <c r="AVK3" s="525"/>
      <c r="AVL3" s="525"/>
      <c r="AVM3" s="525"/>
      <c r="AVN3" s="525"/>
      <c r="AVO3" s="525"/>
      <c r="AVP3" s="525"/>
      <c r="AVQ3" s="525"/>
      <c r="AVR3" s="525"/>
      <c r="AVS3" s="525"/>
      <c r="AVT3" s="525"/>
      <c r="AVU3" s="525"/>
      <c r="AVV3" s="525"/>
      <c r="AVW3" s="525"/>
      <c r="AVX3" s="525"/>
      <c r="AVY3" s="525"/>
      <c r="AVZ3" s="525"/>
      <c r="AWA3" s="525"/>
      <c r="AWB3" s="525"/>
      <c r="AWC3" s="525"/>
      <c r="AWD3" s="525"/>
      <c r="AWE3" s="525"/>
      <c r="AWF3" s="525"/>
      <c r="AWG3" s="525"/>
      <c r="AWH3" s="525"/>
      <c r="AWI3" s="525"/>
      <c r="AWJ3" s="525"/>
      <c r="AWK3" s="525"/>
      <c r="AWL3" s="525"/>
      <c r="AWM3" s="525"/>
      <c r="AWN3" s="525"/>
      <c r="AWO3" s="525"/>
      <c r="AWP3" s="525"/>
      <c r="AWQ3" s="525"/>
      <c r="AWR3" s="525"/>
      <c r="AWS3" s="525"/>
      <c r="AWT3" s="525"/>
      <c r="AWU3" s="525"/>
      <c r="AWV3" s="525"/>
      <c r="AWW3" s="525"/>
      <c r="AWX3" s="525"/>
      <c r="AWY3" s="525"/>
      <c r="AWZ3" s="525"/>
      <c r="AXA3" s="525"/>
      <c r="AXB3" s="525"/>
      <c r="AXC3" s="525"/>
      <c r="AXD3" s="525"/>
      <c r="AXE3" s="525"/>
      <c r="AXF3" s="525"/>
      <c r="AXG3" s="525"/>
      <c r="AXH3" s="525"/>
      <c r="AXI3" s="525"/>
      <c r="AXJ3" s="525"/>
      <c r="AXK3" s="525"/>
      <c r="AXL3" s="525"/>
      <c r="AXM3" s="525"/>
      <c r="AXN3" s="525"/>
      <c r="AXO3" s="525"/>
      <c r="AXP3" s="525"/>
      <c r="AXQ3" s="525"/>
      <c r="AXR3" s="525"/>
      <c r="AXS3" s="525"/>
      <c r="AXT3" s="525"/>
      <c r="AXU3" s="525"/>
      <c r="AXV3" s="525"/>
      <c r="AXW3" s="525"/>
      <c r="AXX3" s="525"/>
      <c r="AXY3" s="525"/>
      <c r="AXZ3" s="525"/>
      <c r="AYA3" s="525"/>
      <c r="AYB3" s="525"/>
      <c r="AYC3" s="525"/>
      <c r="AYD3" s="525"/>
      <c r="AYE3" s="525"/>
      <c r="AYF3" s="525"/>
      <c r="AYG3" s="525"/>
      <c r="AYH3" s="525"/>
      <c r="AYI3" s="525"/>
      <c r="AYJ3" s="525"/>
      <c r="AYK3" s="525"/>
      <c r="AYL3" s="525"/>
      <c r="AYM3" s="525"/>
      <c r="AYN3" s="525"/>
      <c r="AYO3" s="525"/>
      <c r="AYP3" s="525"/>
      <c r="AYQ3" s="525"/>
      <c r="AYR3" s="525"/>
      <c r="AYS3" s="525"/>
      <c r="AYT3" s="525"/>
      <c r="AYU3" s="525"/>
      <c r="AYV3" s="525"/>
      <c r="AYW3" s="525"/>
      <c r="AYX3" s="525"/>
      <c r="AYY3" s="525"/>
      <c r="AYZ3" s="525"/>
      <c r="AZA3" s="525"/>
      <c r="AZB3" s="525"/>
      <c r="AZC3" s="525"/>
      <c r="AZD3" s="525"/>
      <c r="AZE3" s="525"/>
      <c r="AZF3" s="525"/>
      <c r="AZG3" s="525"/>
      <c r="AZH3" s="525"/>
      <c r="AZI3" s="525"/>
      <c r="AZJ3" s="525"/>
      <c r="AZK3" s="525"/>
      <c r="AZL3" s="525"/>
      <c r="AZM3" s="525"/>
      <c r="AZN3" s="525"/>
      <c r="AZO3" s="525"/>
      <c r="AZP3" s="525"/>
      <c r="AZQ3" s="525"/>
      <c r="AZR3" s="525"/>
      <c r="AZS3" s="525"/>
      <c r="AZT3" s="525"/>
      <c r="AZU3" s="525"/>
      <c r="AZV3" s="525"/>
      <c r="AZW3" s="525"/>
      <c r="AZX3" s="525"/>
      <c r="AZY3" s="525"/>
      <c r="AZZ3" s="525"/>
      <c r="BAA3" s="525"/>
      <c r="BAB3" s="525"/>
      <c r="BAC3" s="525"/>
      <c r="BAD3" s="525"/>
      <c r="BAE3" s="525"/>
      <c r="BAF3" s="525"/>
      <c r="BAG3" s="525"/>
      <c r="BAH3" s="525"/>
      <c r="BAI3" s="525"/>
      <c r="BAJ3" s="525"/>
      <c r="BAK3" s="525"/>
      <c r="BAL3" s="525"/>
      <c r="BAM3" s="525"/>
      <c r="BAN3" s="525"/>
      <c r="BAO3" s="525"/>
      <c r="BAP3" s="525"/>
      <c r="BAQ3" s="525"/>
      <c r="BAR3" s="525"/>
      <c r="BAS3" s="525"/>
      <c r="BAT3" s="525"/>
      <c r="BAU3" s="525"/>
      <c r="BAV3" s="525"/>
      <c r="BAW3" s="525"/>
      <c r="BAX3" s="525"/>
      <c r="BAY3" s="525"/>
      <c r="BAZ3" s="525"/>
      <c r="BBA3" s="525"/>
      <c r="BBB3" s="525"/>
      <c r="BBC3" s="525"/>
      <c r="BBD3" s="525"/>
      <c r="BBE3" s="525"/>
      <c r="BBF3" s="525"/>
      <c r="BBG3" s="525"/>
      <c r="BBH3" s="525"/>
      <c r="BBI3" s="525"/>
      <c r="BBJ3" s="525"/>
      <c r="BBK3" s="525"/>
      <c r="BBL3" s="525"/>
      <c r="BBM3" s="525"/>
      <c r="BBN3" s="525"/>
      <c r="BBO3" s="525"/>
      <c r="BBP3" s="525"/>
      <c r="BBQ3" s="525"/>
      <c r="BBR3" s="525"/>
      <c r="BBS3" s="525"/>
      <c r="BBT3" s="525"/>
      <c r="BBU3" s="525"/>
      <c r="BBV3" s="525"/>
      <c r="BBW3" s="525"/>
      <c r="BBX3" s="525"/>
      <c r="BBY3" s="525"/>
      <c r="BBZ3" s="525"/>
      <c r="BCA3" s="525"/>
      <c r="BCB3" s="525"/>
      <c r="BCC3" s="525"/>
      <c r="BCD3" s="525"/>
      <c r="BCE3" s="525"/>
      <c r="BCF3" s="525"/>
      <c r="BCG3" s="525"/>
      <c r="BCH3" s="525"/>
      <c r="BCI3" s="525"/>
      <c r="BCJ3" s="525"/>
      <c r="BCK3" s="525"/>
      <c r="BCL3" s="525"/>
      <c r="BCM3" s="525"/>
      <c r="BCN3" s="525"/>
      <c r="BCO3" s="525"/>
      <c r="BCP3" s="525"/>
      <c r="BCQ3" s="525"/>
      <c r="BCR3" s="525"/>
      <c r="BCS3" s="525"/>
      <c r="BCT3" s="525"/>
      <c r="BCU3" s="525"/>
      <c r="BCV3" s="525"/>
      <c r="BCW3" s="525"/>
      <c r="BCX3" s="525"/>
      <c r="BCY3" s="525"/>
      <c r="BCZ3" s="525"/>
      <c r="BDA3" s="525"/>
      <c r="BDB3" s="525"/>
      <c r="BDC3" s="525"/>
      <c r="BDD3" s="525"/>
      <c r="BDE3" s="525"/>
      <c r="BDF3" s="525"/>
      <c r="BDG3" s="525"/>
      <c r="BDH3" s="525"/>
      <c r="BDI3" s="525"/>
      <c r="BDJ3" s="525"/>
      <c r="BDK3" s="525"/>
      <c r="BDL3" s="525"/>
      <c r="BDM3" s="525"/>
      <c r="BDN3" s="525"/>
      <c r="BDO3" s="525"/>
      <c r="BDP3" s="525"/>
      <c r="BDQ3" s="525"/>
      <c r="BDR3" s="525"/>
      <c r="BDS3" s="525"/>
      <c r="BDT3" s="525"/>
      <c r="BDU3" s="525"/>
      <c r="BDV3" s="525"/>
      <c r="BDW3" s="525"/>
      <c r="BDX3" s="525"/>
      <c r="BDY3" s="525"/>
      <c r="BDZ3" s="525"/>
      <c r="BEA3" s="525"/>
      <c r="BEB3" s="525"/>
      <c r="BEC3" s="525"/>
      <c r="BED3" s="525"/>
      <c r="BEE3" s="525"/>
      <c r="BEF3" s="525"/>
      <c r="BEG3" s="525"/>
      <c r="BEH3" s="525"/>
      <c r="BEI3" s="525"/>
      <c r="BEJ3" s="525"/>
      <c r="BEK3" s="525"/>
      <c r="BEL3" s="525"/>
      <c r="BEM3" s="525"/>
      <c r="BEN3" s="525"/>
      <c r="BEO3" s="525"/>
      <c r="BEP3" s="525"/>
      <c r="BEQ3" s="525"/>
      <c r="BER3" s="525"/>
      <c r="BES3" s="525"/>
      <c r="BET3" s="525"/>
      <c r="BEU3" s="525"/>
      <c r="BEV3" s="525"/>
      <c r="BEW3" s="525"/>
      <c r="BEX3" s="525"/>
      <c r="BEY3" s="525"/>
      <c r="BEZ3" s="525"/>
      <c r="BFA3" s="525"/>
      <c r="BFB3" s="525"/>
      <c r="BFC3" s="525"/>
      <c r="BFD3" s="525"/>
      <c r="BFE3" s="525"/>
      <c r="BFF3" s="525"/>
      <c r="BFG3" s="525"/>
      <c r="BFH3" s="525"/>
      <c r="BFI3" s="525"/>
      <c r="BFJ3" s="525"/>
      <c r="BFK3" s="525"/>
      <c r="BFL3" s="525"/>
      <c r="BFM3" s="525"/>
      <c r="BFN3" s="525"/>
      <c r="BFO3" s="525"/>
      <c r="BFP3" s="525"/>
      <c r="BFQ3" s="525"/>
      <c r="BFR3" s="525"/>
      <c r="BFS3" s="525"/>
      <c r="BFT3" s="525"/>
      <c r="BFU3" s="525"/>
      <c r="BFV3" s="525"/>
      <c r="BFW3" s="525"/>
      <c r="BFX3" s="525"/>
      <c r="BFY3" s="525"/>
      <c r="BFZ3" s="525"/>
      <c r="BGA3" s="525"/>
      <c r="BGB3" s="525"/>
      <c r="BGC3" s="525"/>
      <c r="BGD3" s="525"/>
      <c r="BGE3" s="525"/>
      <c r="BGF3" s="525"/>
      <c r="BGG3" s="525"/>
      <c r="BGH3" s="525"/>
      <c r="BGI3" s="525"/>
      <c r="BGJ3" s="525"/>
      <c r="BGK3" s="525"/>
      <c r="BGL3" s="525"/>
      <c r="BGM3" s="525"/>
      <c r="BGN3" s="525"/>
      <c r="BGO3" s="525"/>
      <c r="BGP3" s="525"/>
      <c r="BGQ3" s="525"/>
      <c r="BGR3" s="525"/>
      <c r="BGS3" s="525"/>
      <c r="BGT3" s="525"/>
      <c r="BGU3" s="525"/>
      <c r="BGV3" s="525"/>
      <c r="BGW3" s="525"/>
      <c r="BGX3" s="525"/>
      <c r="BGY3" s="525"/>
      <c r="BGZ3" s="525"/>
      <c r="BHA3" s="525"/>
      <c r="BHB3" s="525"/>
      <c r="BHC3" s="525"/>
      <c r="BHD3" s="525"/>
      <c r="BHE3" s="525"/>
      <c r="BHF3" s="525"/>
      <c r="BHG3" s="525"/>
      <c r="BHH3" s="525"/>
      <c r="BHI3" s="525"/>
      <c r="BHJ3" s="525"/>
      <c r="BHK3" s="525"/>
      <c r="BHL3" s="525"/>
      <c r="BHM3" s="525"/>
      <c r="BHN3" s="525"/>
      <c r="BHO3" s="525"/>
      <c r="BHP3" s="525"/>
      <c r="BHQ3" s="525"/>
      <c r="BHR3" s="525"/>
      <c r="BHS3" s="525"/>
      <c r="BHT3" s="525"/>
      <c r="BHU3" s="525"/>
      <c r="BHV3" s="525"/>
      <c r="BHW3" s="525"/>
      <c r="BHX3" s="525"/>
      <c r="BHY3" s="525"/>
      <c r="BHZ3" s="525"/>
      <c r="BIA3" s="525"/>
      <c r="BIB3" s="525"/>
      <c r="BIC3" s="525"/>
      <c r="BID3" s="525"/>
      <c r="BIE3" s="525"/>
      <c r="BIF3" s="525"/>
      <c r="BIG3" s="525"/>
      <c r="BIH3" s="525"/>
      <c r="BII3" s="525"/>
      <c r="BIJ3" s="525"/>
      <c r="BIK3" s="525"/>
      <c r="BIL3" s="525"/>
      <c r="BIM3" s="525"/>
      <c r="BIN3" s="525"/>
      <c r="BIO3" s="525"/>
      <c r="BIP3" s="525"/>
      <c r="BIQ3" s="525"/>
      <c r="BIR3" s="525"/>
      <c r="BIS3" s="525"/>
      <c r="BIT3" s="525"/>
      <c r="BIU3" s="525"/>
      <c r="BIV3" s="525"/>
      <c r="BIW3" s="525"/>
      <c r="BIX3" s="525"/>
      <c r="BIY3" s="525"/>
      <c r="BIZ3" s="525"/>
      <c r="BJA3" s="525"/>
      <c r="BJB3" s="525"/>
      <c r="BJC3" s="525"/>
      <c r="BJD3" s="525"/>
      <c r="BJE3" s="525"/>
      <c r="BJF3" s="525"/>
      <c r="BJG3" s="525"/>
      <c r="BJH3" s="525"/>
      <c r="BJI3" s="525"/>
      <c r="BJJ3" s="525"/>
      <c r="BJK3" s="525"/>
      <c r="BJL3" s="525"/>
      <c r="BJM3" s="525"/>
      <c r="BJN3" s="525"/>
      <c r="BJO3" s="525"/>
      <c r="BJP3" s="525"/>
      <c r="BJQ3" s="525"/>
      <c r="BJR3" s="525"/>
      <c r="BJS3" s="525"/>
      <c r="BJT3" s="525"/>
      <c r="BJU3" s="525"/>
      <c r="BJV3" s="525"/>
      <c r="BJW3" s="525"/>
      <c r="BJX3" s="525"/>
      <c r="BJY3" s="525"/>
      <c r="BJZ3" s="525"/>
      <c r="BKA3" s="525"/>
      <c r="BKB3" s="525"/>
      <c r="BKC3" s="525"/>
      <c r="BKD3" s="525"/>
      <c r="BKE3" s="525"/>
      <c r="BKF3" s="525"/>
      <c r="BKG3" s="525"/>
      <c r="BKH3" s="525"/>
      <c r="BKI3" s="525"/>
      <c r="BKJ3" s="525"/>
      <c r="BKK3" s="525"/>
      <c r="BKL3" s="525"/>
      <c r="BKM3" s="525"/>
      <c r="BKN3" s="525"/>
      <c r="BKO3" s="525"/>
      <c r="BKP3" s="525"/>
      <c r="BKQ3" s="525"/>
      <c r="BKR3" s="525"/>
      <c r="BKS3" s="525"/>
      <c r="BKT3" s="525"/>
      <c r="BKU3" s="525"/>
      <c r="BKV3" s="525"/>
      <c r="BKW3" s="525"/>
      <c r="BKX3" s="525"/>
      <c r="BKY3" s="525"/>
      <c r="BKZ3" s="525"/>
      <c r="BLA3" s="525"/>
      <c r="BLB3" s="525"/>
      <c r="BLC3" s="525"/>
      <c r="BLD3" s="525"/>
      <c r="BLE3" s="525"/>
      <c r="BLF3" s="525"/>
      <c r="BLG3" s="525"/>
      <c r="BLH3" s="525"/>
      <c r="BLI3" s="525"/>
      <c r="BLJ3" s="525"/>
      <c r="BLK3" s="525"/>
      <c r="BLL3" s="525"/>
      <c r="BLM3" s="525"/>
      <c r="BLN3" s="525"/>
      <c r="BLO3" s="525"/>
      <c r="BLP3" s="525"/>
      <c r="BLQ3" s="525"/>
      <c r="BLR3" s="525"/>
      <c r="BLS3" s="525"/>
      <c r="BLT3" s="525"/>
      <c r="BLU3" s="525"/>
      <c r="BLV3" s="525"/>
      <c r="BLW3" s="525"/>
      <c r="BLX3" s="525"/>
      <c r="BLY3" s="525"/>
      <c r="BLZ3" s="525"/>
      <c r="BMA3" s="525"/>
      <c r="BMB3" s="525"/>
      <c r="BMC3" s="525"/>
      <c r="BMD3" s="525"/>
      <c r="BME3" s="525"/>
      <c r="BMF3" s="525"/>
      <c r="BMG3" s="525"/>
      <c r="BMH3" s="525"/>
      <c r="BMI3" s="525"/>
      <c r="BMJ3" s="525"/>
      <c r="BMK3" s="525"/>
      <c r="BML3" s="525"/>
      <c r="BMM3" s="525"/>
      <c r="BMN3" s="525"/>
      <c r="BMO3" s="525"/>
      <c r="BMP3" s="525"/>
      <c r="BMQ3" s="525"/>
      <c r="BMR3" s="525"/>
      <c r="BMS3" s="525"/>
      <c r="BMT3" s="525"/>
      <c r="BMU3" s="525"/>
      <c r="BMV3" s="525"/>
      <c r="BMW3" s="525"/>
      <c r="BMX3" s="525"/>
      <c r="BMY3" s="525"/>
      <c r="BMZ3" s="525"/>
      <c r="BNA3" s="525"/>
      <c r="BNB3" s="525"/>
      <c r="BNC3" s="525"/>
      <c r="BND3" s="525"/>
      <c r="BNE3" s="525"/>
      <c r="BNF3" s="525"/>
      <c r="BNG3" s="525"/>
      <c r="BNH3" s="525"/>
      <c r="BNI3" s="525"/>
      <c r="BNJ3" s="525"/>
      <c r="BNK3" s="525"/>
      <c r="BNL3" s="525"/>
      <c r="BNM3" s="525"/>
      <c r="BNN3" s="525"/>
      <c r="BNO3" s="525"/>
      <c r="BNP3" s="525"/>
      <c r="BNQ3" s="525"/>
      <c r="BNR3" s="525"/>
      <c r="BNS3" s="525"/>
      <c r="BNT3" s="525"/>
      <c r="BNU3" s="525"/>
      <c r="BNV3" s="525"/>
      <c r="BNW3" s="525"/>
      <c r="BNX3" s="525"/>
      <c r="BNY3" s="525"/>
      <c r="BNZ3" s="525"/>
      <c r="BOA3" s="525"/>
      <c r="BOB3" s="525"/>
      <c r="BOC3" s="525"/>
      <c r="BOD3" s="525"/>
      <c r="BOE3" s="525"/>
      <c r="BOF3" s="525"/>
      <c r="BOG3" s="525"/>
      <c r="BOH3" s="525"/>
      <c r="BOI3" s="525"/>
      <c r="BOJ3" s="525"/>
      <c r="BOK3" s="525"/>
      <c r="BOL3" s="525"/>
      <c r="BOM3" s="525"/>
      <c r="BON3" s="525"/>
      <c r="BOO3" s="525"/>
      <c r="BOP3" s="525"/>
      <c r="BOQ3" s="525"/>
      <c r="BOR3" s="525"/>
      <c r="BOS3" s="525"/>
      <c r="BOT3" s="525"/>
      <c r="BOU3" s="525"/>
      <c r="BOV3" s="525"/>
      <c r="BOW3" s="525"/>
      <c r="BOX3" s="525"/>
      <c r="BOY3" s="525"/>
      <c r="BOZ3" s="525"/>
      <c r="BPA3" s="525"/>
      <c r="BPB3" s="525"/>
      <c r="BPC3" s="525"/>
      <c r="BPD3" s="525"/>
      <c r="BPE3" s="525"/>
      <c r="BPF3" s="525"/>
      <c r="BPG3" s="525"/>
      <c r="BPH3" s="525"/>
      <c r="BPI3" s="525"/>
      <c r="BPJ3" s="525"/>
      <c r="BPK3" s="525"/>
      <c r="BPL3" s="525"/>
      <c r="BPM3" s="525"/>
      <c r="BPN3" s="525"/>
      <c r="BPO3" s="525"/>
      <c r="BPP3" s="525"/>
      <c r="BPQ3" s="525"/>
      <c r="BPR3" s="525"/>
      <c r="BPS3" s="525"/>
      <c r="BPT3" s="525"/>
      <c r="BPU3" s="525"/>
      <c r="BPV3" s="525"/>
      <c r="BPW3" s="525"/>
      <c r="BPX3" s="525"/>
      <c r="BPY3" s="525"/>
      <c r="BPZ3" s="525"/>
      <c r="BQA3" s="525"/>
      <c r="BQB3" s="525"/>
      <c r="BQC3" s="525"/>
      <c r="BQD3" s="525"/>
      <c r="BQE3" s="525"/>
      <c r="BQF3" s="525"/>
      <c r="BQG3" s="525"/>
      <c r="BQH3" s="525"/>
      <c r="BQI3" s="525"/>
      <c r="BQJ3" s="525"/>
      <c r="BQK3" s="525"/>
      <c r="BQL3" s="525"/>
      <c r="BQM3" s="525"/>
      <c r="BQN3" s="525"/>
      <c r="BQO3" s="525"/>
      <c r="BQP3" s="525"/>
      <c r="BQQ3" s="525"/>
      <c r="BQR3" s="525"/>
      <c r="BQS3" s="525"/>
      <c r="BQT3" s="525"/>
      <c r="BQU3" s="525"/>
      <c r="BQV3" s="525"/>
      <c r="BQW3" s="525"/>
      <c r="BQX3" s="525"/>
      <c r="BQY3" s="525"/>
      <c r="BQZ3" s="525"/>
      <c r="BRA3" s="525"/>
      <c r="BRB3" s="525"/>
      <c r="BRC3" s="525"/>
      <c r="BRD3" s="525"/>
      <c r="BRE3" s="525"/>
      <c r="BRF3" s="525"/>
      <c r="BRG3" s="525"/>
      <c r="BRH3" s="525"/>
      <c r="BRI3" s="525"/>
      <c r="BRJ3" s="525"/>
      <c r="BRK3" s="525"/>
      <c r="BRL3" s="525"/>
      <c r="BRM3" s="525"/>
      <c r="BRN3" s="525"/>
      <c r="BRO3" s="525"/>
      <c r="BRP3" s="525"/>
      <c r="BRQ3" s="525"/>
      <c r="BRR3" s="525"/>
      <c r="BRS3" s="525"/>
      <c r="BRT3" s="525"/>
      <c r="BRU3" s="525"/>
      <c r="BRV3" s="525"/>
      <c r="BRW3" s="525"/>
      <c r="BRX3" s="525"/>
      <c r="BRY3" s="525"/>
      <c r="BRZ3" s="525"/>
      <c r="BSA3" s="525"/>
      <c r="BSB3" s="525"/>
      <c r="BSC3" s="525"/>
      <c r="BSD3" s="525"/>
      <c r="BSE3" s="525"/>
      <c r="BSF3" s="525"/>
      <c r="BSG3" s="525"/>
      <c r="BSH3" s="525"/>
      <c r="BSI3" s="525"/>
      <c r="BSJ3" s="525"/>
      <c r="BSK3" s="525"/>
      <c r="BSL3" s="525"/>
      <c r="BSM3" s="525"/>
      <c r="BSN3" s="525"/>
      <c r="BSO3" s="525"/>
      <c r="BSP3" s="525"/>
      <c r="BSQ3" s="525"/>
      <c r="BSR3" s="525"/>
      <c r="BSS3" s="525"/>
      <c r="BST3" s="525"/>
      <c r="BSU3" s="525"/>
      <c r="BSV3" s="525"/>
      <c r="BSW3" s="525"/>
      <c r="BSX3" s="525"/>
      <c r="BSY3" s="525"/>
      <c r="BSZ3" s="525"/>
      <c r="BTA3" s="525"/>
      <c r="BTB3" s="525"/>
      <c r="BTC3" s="525"/>
      <c r="BTD3" s="525"/>
      <c r="BTE3" s="525"/>
      <c r="BTF3" s="525"/>
      <c r="BTG3" s="525"/>
      <c r="BTH3" s="525"/>
      <c r="BTI3" s="525"/>
      <c r="BTJ3" s="525"/>
      <c r="BTK3" s="525"/>
      <c r="BTL3" s="525"/>
      <c r="BTM3" s="525"/>
      <c r="BTN3" s="525"/>
      <c r="BTO3" s="525"/>
      <c r="BTP3" s="525"/>
      <c r="BTQ3" s="525"/>
      <c r="BTR3" s="525"/>
      <c r="BTS3" s="525"/>
      <c r="BTT3" s="525"/>
      <c r="BTU3" s="525"/>
      <c r="BTV3" s="525"/>
      <c r="BTW3" s="525"/>
      <c r="BTX3" s="525"/>
      <c r="BTY3" s="525"/>
      <c r="BTZ3" s="525"/>
      <c r="BUA3" s="525"/>
      <c r="BUB3" s="525"/>
      <c r="BUC3" s="525"/>
      <c r="BUD3" s="525"/>
      <c r="BUE3" s="525"/>
      <c r="BUF3" s="525"/>
      <c r="BUG3" s="525"/>
      <c r="BUH3" s="525"/>
      <c r="BUI3" s="525"/>
      <c r="BUJ3" s="525"/>
      <c r="BUK3" s="525"/>
      <c r="BUL3" s="525"/>
      <c r="BUM3" s="525"/>
      <c r="BUN3" s="525"/>
      <c r="BUO3" s="525"/>
      <c r="BUP3" s="525"/>
      <c r="BUQ3" s="525"/>
      <c r="BUR3" s="525"/>
      <c r="BUS3" s="525"/>
      <c r="BUT3" s="525"/>
      <c r="BUU3" s="525"/>
      <c r="BUV3" s="525"/>
      <c r="BUW3" s="525"/>
      <c r="BUX3" s="525"/>
      <c r="BUY3" s="525"/>
      <c r="BUZ3" s="525"/>
      <c r="BVA3" s="525"/>
      <c r="BVB3" s="525"/>
      <c r="BVC3" s="525"/>
      <c r="BVD3" s="525"/>
      <c r="BVE3" s="525"/>
      <c r="BVF3" s="525"/>
      <c r="BVG3" s="525"/>
      <c r="BVH3" s="525"/>
      <c r="BVI3" s="525"/>
      <c r="BVJ3" s="525"/>
      <c r="BVK3" s="525"/>
      <c r="BVL3" s="525"/>
      <c r="BVM3" s="525"/>
      <c r="BVN3" s="525"/>
      <c r="BVO3" s="525"/>
      <c r="BVP3" s="525"/>
      <c r="BVQ3" s="525"/>
      <c r="BVR3" s="525"/>
      <c r="BVS3" s="525"/>
      <c r="BVT3" s="525"/>
      <c r="BVU3" s="525"/>
      <c r="BVV3" s="525"/>
      <c r="BVW3" s="525"/>
      <c r="BVX3" s="525"/>
      <c r="BVY3" s="525"/>
      <c r="BVZ3" s="525"/>
      <c r="BWA3" s="525"/>
      <c r="BWB3" s="525"/>
      <c r="BWC3" s="525"/>
      <c r="BWD3" s="525"/>
      <c r="BWE3" s="525"/>
      <c r="BWF3" s="525"/>
      <c r="BWG3" s="525"/>
      <c r="BWH3" s="525"/>
      <c r="BWI3" s="525"/>
      <c r="BWJ3" s="525"/>
      <c r="BWK3" s="525"/>
      <c r="BWL3" s="525"/>
      <c r="BWM3" s="525"/>
      <c r="BWN3" s="525"/>
      <c r="BWO3" s="525"/>
      <c r="BWP3" s="525"/>
      <c r="BWQ3" s="525"/>
      <c r="BWR3" s="525"/>
      <c r="BWS3" s="525"/>
      <c r="BWT3" s="525"/>
      <c r="BWU3" s="525"/>
      <c r="BWV3" s="525"/>
      <c r="BWW3" s="525"/>
      <c r="BWX3" s="525"/>
      <c r="BWY3" s="525"/>
      <c r="BWZ3" s="525"/>
      <c r="BXA3" s="525"/>
      <c r="BXB3" s="525"/>
      <c r="BXC3" s="525"/>
      <c r="BXD3" s="525"/>
      <c r="BXE3" s="525"/>
      <c r="BXF3" s="525"/>
      <c r="BXG3" s="525"/>
      <c r="BXH3" s="525"/>
      <c r="BXI3" s="525"/>
      <c r="BXJ3" s="525"/>
      <c r="BXK3" s="525"/>
      <c r="BXL3" s="525"/>
      <c r="BXM3" s="525"/>
      <c r="BXN3" s="525"/>
      <c r="BXO3" s="525"/>
      <c r="BXP3" s="525"/>
      <c r="BXQ3" s="525"/>
      <c r="BXR3" s="525"/>
      <c r="BXS3" s="525"/>
      <c r="BXT3" s="525"/>
      <c r="BXU3" s="525"/>
      <c r="BXV3" s="525"/>
      <c r="BXW3" s="525"/>
      <c r="BXX3" s="525"/>
      <c r="BXY3" s="525"/>
      <c r="BXZ3" s="525"/>
      <c r="BYA3" s="525"/>
      <c r="BYB3" s="525"/>
      <c r="BYC3" s="525"/>
      <c r="BYD3" s="525"/>
      <c r="BYE3" s="525"/>
      <c r="BYF3" s="525"/>
      <c r="BYG3" s="525"/>
      <c r="BYH3" s="525"/>
      <c r="BYI3" s="525"/>
      <c r="BYJ3" s="525"/>
      <c r="BYK3" s="525"/>
      <c r="BYL3" s="525"/>
      <c r="BYM3" s="525"/>
      <c r="BYN3" s="525"/>
      <c r="BYO3" s="525"/>
      <c r="BYP3" s="525"/>
      <c r="BYQ3" s="525"/>
      <c r="BYR3" s="525"/>
      <c r="BYS3" s="525"/>
      <c r="BYT3" s="525"/>
      <c r="BYU3" s="525"/>
      <c r="BYV3" s="525"/>
      <c r="BYW3" s="525"/>
      <c r="BYX3" s="525"/>
      <c r="BYY3" s="525"/>
      <c r="BYZ3" s="525"/>
      <c r="BZA3" s="525"/>
      <c r="BZB3" s="525"/>
      <c r="BZC3" s="525"/>
      <c r="BZD3" s="525"/>
      <c r="BZE3" s="525"/>
      <c r="BZF3" s="525"/>
      <c r="BZG3" s="525"/>
      <c r="BZH3" s="525"/>
      <c r="BZI3" s="525"/>
      <c r="BZJ3" s="525"/>
      <c r="BZK3" s="525"/>
      <c r="BZL3" s="525"/>
      <c r="BZM3" s="525"/>
      <c r="BZN3" s="525"/>
      <c r="BZO3" s="525"/>
      <c r="BZP3" s="525"/>
      <c r="BZQ3" s="525"/>
      <c r="BZR3" s="525"/>
      <c r="BZS3" s="525"/>
      <c r="BZT3" s="525"/>
      <c r="BZU3" s="525"/>
      <c r="BZV3" s="525"/>
      <c r="BZW3" s="525"/>
      <c r="BZX3" s="525"/>
      <c r="BZY3" s="525"/>
      <c r="BZZ3" s="525"/>
      <c r="CAA3" s="525"/>
      <c r="CAB3" s="525"/>
      <c r="CAC3" s="525"/>
      <c r="CAD3" s="525"/>
      <c r="CAE3" s="525"/>
      <c r="CAF3" s="525"/>
      <c r="CAG3" s="525"/>
      <c r="CAH3" s="525"/>
      <c r="CAI3" s="525"/>
      <c r="CAJ3" s="525"/>
      <c r="CAK3" s="525"/>
      <c r="CAL3" s="525"/>
      <c r="CAM3" s="525"/>
      <c r="CAN3" s="525"/>
      <c r="CAO3" s="525"/>
      <c r="CAP3" s="525"/>
      <c r="CAQ3" s="525"/>
      <c r="CAR3" s="525"/>
      <c r="CAS3" s="525"/>
      <c r="CAT3" s="525"/>
      <c r="CAU3" s="525"/>
      <c r="CAV3" s="525"/>
      <c r="CAW3" s="525"/>
      <c r="CAX3" s="525"/>
      <c r="CAY3" s="525"/>
      <c r="CAZ3" s="525"/>
      <c r="CBA3" s="525"/>
      <c r="CBB3" s="525"/>
      <c r="CBC3" s="525"/>
      <c r="CBD3" s="525"/>
      <c r="CBE3" s="525"/>
      <c r="CBF3" s="525"/>
      <c r="CBG3" s="525"/>
      <c r="CBH3" s="525"/>
      <c r="CBI3" s="525"/>
      <c r="CBJ3" s="525"/>
      <c r="CBK3" s="525"/>
      <c r="CBL3" s="525"/>
      <c r="CBM3" s="525"/>
      <c r="CBN3" s="525"/>
      <c r="CBO3" s="525"/>
      <c r="CBP3" s="525"/>
      <c r="CBQ3" s="525"/>
      <c r="CBR3" s="525"/>
      <c r="CBS3" s="525"/>
      <c r="CBT3" s="525"/>
      <c r="CBU3" s="525"/>
      <c r="CBV3" s="525"/>
      <c r="CBW3" s="525"/>
      <c r="CBX3" s="525"/>
      <c r="CBY3" s="525"/>
      <c r="CBZ3" s="525"/>
      <c r="CCA3" s="525"/>
      <c r="CCB3" s="525"/>
      <c r="CCC3" s="525"/>
      <c r="CCD3" s="525"/>
      <c r="CCE3" s="525"/>
      <c r="CCF3" s="525"/>
      <c r="CCG3" s="525"/>
      <c r="CCH3" s="525"/>
      <c r="CCI3" s="525"/>
      <c r="CCJ3" s="525"/>
      <c r="CCK3" s="525"/>
      <c r="CCL3" s="525"/>
      <c r="CCM3" s="525"/>
      <c r="CCN3" s="525"/>
      <c r="CCO3" s="525"/>
      <c r="CCP3" s="525"/>
      <c r="CCQ3" s="525"/>
      <c r="CCR3" s="525"/>
      <c r="CCS3" s="525"/>
      <c r="CCT3" s="525"/>
      <c r="CCU3" s="525"/>
      <c r="CCV3" s="525"/>
      <c r="CCW3" s="525"/>
      <c r="CCX3" s="525"/>
      <c r="CCY3" s="525"/>
      <c r="CCZ3" s="525"/>
      <c r="CDA3" s="525"/>
      <c r="CDB3" s="525"/>
      <c r="CDC3" s="525"/>
      <c r="CDD3" s="525"/>
      <c r="CDE3" s="525"/>
      <c r="CDF3" s="525"/>
      <c r="CDG3" s="525"/>
      <c r="CDH3" s="525"/>
      <c r="CDI3" s="525"/>
      <c r="CDJ3" s="525"/>
      <c r="CDK3" s="525"/>
      <c r="CDL3" s="525"/>
      <c r="CDM3" s="525"/>
      <c r="CDN3" s="525"/>
      <c r="CDO3" s="525"/>
      <c r="CDP3" s="525"/>
      <c r="CDQ3" s="525"/>
      <c r="CDR3" s="525"/>
      <c r="CDS3" s="525"/>
      <c r="CDT3" s="525"/>
      <c r="CDU3" s="525"/>
      <c r="CDV3" s="525"/>
      <c r="CDW3" s="525"/>
      <c r="CDX3" s="525"/>
      <c r="CDY3" s="525"/>
      <c r="CDZ3" s="525"/>
      <c r="CEA3" s="525"/>
      <c r="CEB3" s="525"/>
      <c r="CEC3" s="525"/>
      <c r="CED3" s="525"/>
      <c r="CEE3" s="525"/>
      <c r="CEF3" s="525"/>
      <c r="CEG3" s="525"/>
      <c r="CEH3" s="525"/>
      <c r="CEI3" s="525"/>
      <c r="CEJ3" s="525"/>
      <c r="CEK3" s="525"/>
      <c r="CEL3" s="525"/>
      <c r="CEM3" s="525"/>
      <c r="CEN3" s="525"/>
      <c r="CEO3" s="525"/>
      <c r="CEP3" s="525"/>
      <c r="CEQ3" s="525"/>
      <c r="CER3" s="525"/>
      <c r="CES3" s="525"/>
      <c r="CET3" s="525"/>
      <c r="CEU3" s="525"/>
      <c r="CEV3" s="525"/>
      <c r="CEW3" s="525"/>
      <c r="CEX3" s="525"/>
      <c r="CEY3" s="525"/>
      <c r="CEZ3" s="525"/>
      <c r="CFA3" s="525"/>
      <c r="CFB3" s="525"/>
      <c r="CFC3" s="525"/>
      <c r="CFD3" s="525"/>
      <c r="CFE3" s="525"/>
      <c r="CFF3" s="525"/>
      <c r="CFG3" s="525"/>
      <c r="CFH3" s="525"/>
      <c r="CFI3" s="525"/>
      <c r="CFJ3" s="525"/>
      <c r="CFK3" s="525"/>
      <c r="CFL3" s="525"/>
      <c r="CFM3" s="525"/>
      <c r="CFN3" s="525"/>
      <c r="CFO3" s="525"/>
      <c r="CFP3" s="525"/>
      <c r="CFQ3" s="525"/>
      <c r="CFR3" s="525"/>
      <c r="CFS3" s="525"/>
      <c r="CFT3" s="525"/>
      <c r="CFU3" s="525"/>
      <c r="CFV3" s="525"/>
      <c r="CFW3" s="525"/>
      <c r="CFX3" s="525"/>
      <c r="CFY3" s="525"/>
      <c r="CFZ3" s="525"/>
      <c r="CGA3" s="525"/>
      <c r="CGB3" s="525"/>
      <c r="CGC3" s="525"/>
      <c r="CGD3" s="525"/>
      <c r="CGE3" s="525"/>
      <c r="CGF3" s="525"/>
      <c r="CGG3" s="525"/>
      <c r="CGH3" s="525"/>
      <c r="CGI3" s="525"/>
      <c r="CGJ3" s="525"/>
      <c r="CGK3" s="525"/>
      <c r="CGL3" s="525"/>
      <c r="CGM3" s="525"/>
      <c r="CGN3" s="525"/>
      <c r="CGO3" s="525"/>
      <c r="CGP3" s="525"/>
      <c r="CGQ3" s="525"/>
      <c r="CGR3" s="525"/>
      <c r="CGS3" s="525"/>
      <c r="CGT3" s="525"/>
      <c r="CGU3" s="525"/>
      <c r="CGV3" s="525"/>
      <c r="CGW3" s="525"/>
      <c r="CGX3" s="525"/>
      <c r="CGY3" s="525"/>
      <c r="CGZ3" s="525"/>
      <c r="CHA3" s="525"/>
      <c r="CHB3" s="525"/>
      <c r="CHC3" s="525"/>
      <c r="CHD3" s="525"/>
      <c r="CHE3" s="525"/>
      <c r="CHF3" s="525"/>
      <c r="CHG3" s="525"/>
      <c r="CHH3" s="525"/>
      <c r="CHI3" s="525"/>
      <c r="CHJ3" s="525"/>
      <c r="CHK3" s="525"/>
      <c r="CHL3" s="525"/>
      <c r="CHM3" s="525"/>
      <c r="CHN3" s="525"/>
      <c r="CHO3" s="525"/>
      <c r="CHP3" s="525"/>
      <c r="CHQ3" s="525"/>
      <c r="CHR3" s="525"/>
      <c r="CHS3" s="525"/>
      <c r="CHT3" s="525"/>
      <c r="CHU3" s="525"/>
      <c r="CHV3" s="525"/>
      <c r="CHW3" s="525"/>
      <c r="CHX3" s="525"/>
      <c r="CHY3" s="525"/>
      <c r="CHZ3" s="525"/>
      <c r="CIA3" s="525"/>
      <c r="CIB3" s="525"/>
      <c r="CIC3" s="525"/>
      <c r="CID3" s="525"/>
      <c r="CIE3" s="525"/>
      <c r="CIF3" s="525"/>
      <c r="CIG3" s="525"/>
      <c r="CIH3" s="525"/>
      <c r="CII3" s="525"/>
      <c r="CIJ3" s="525"/>
      <c r="CIK3" s="525"/>
      <c r="CIL3" s="525"/>
      <c r="CIM3" s="525"/>
      <c r="CIN3" s="525"/>
      <c r="CIO3" s="525"/>
      <c r="CIP3" s="525"/>
      <c r="CIQ3" s="525"/>
      <c r="CIR3" s="525"/>
      <c r="CIS3" s="525"/>
      <c r="CIT3" s="525"/>
      <c r="CIU3" s="525"/>
      <c r="CIV3" s="525"/>
      <c r="CIW3" s="525"/>
      <c r="CIX3" s="525"/>
      <c r="CIY3" s="525"/>
      <c r="CIZ3" s="525"/>
      <c r="CJA3" s="525"/>
      <c r="CJB3" s="525"/>
      <c r="CJC3" s="525"/>
      <c r="CJD3" s="525"/>
      <c r="CJE3" s="525"/>
      <c r="CJF3" s="525"/>
      <c r="CJG3" s="525"/>
      <c r="CJH3" s="525"/>
      <c r="CJI3" s="525"/>
      <c r="CJJ3" s="525"/>
      <c r="CJK3" s="525"/>
      <c r="CJL3" s="525"/>
      <c r="CJM3" s="525"/>
      <c r="CJN3" s="525"/>
      <c r="CJO3" s="525"/>
      <c r="CJP3" s="525"/>
      <c r="CJQ3" s="525"/>
      <c r="CJR3" s="525"/>
      <c r="CJS3" s="525"/>
      <c r="CJT3" s="525"/>
      <c r="CJU3" s="525"/>
      <c r="CJV3" s="525"/>
      <c r="CJW3" s="525"/>
      <c r="CJX3" s="525"/>
      <c r="CJY3" s="525"/>
      <c r="CJZ3" s="525"/>
      <c r="CKA3" s="525"/>
      <c r="CKB3" s="525"/>
      <c r="CKC3" s="525"/>
      <c r="CKD3" s="525"/>
      <c r="CKE3" s="525"/>
      <c r="CKF3" s="525"/>
      <c r="CKG3" s="525"/>
      <c r="CKH3" s="525"/>
      <c r="CKI3" s="525"/>
      <c r="CKJ3" s="525"/>
      <c r="CKK3" s="525"/>
      <c r="CKL3" s="525"/>
      <c r="CKM3" s="525"/>
      <c r="CKN3" s="525"/>
      <c r="CKO3" s="525"/>
      <c r="CKP3" s="525"/>
      <c r="CKQ3" s="525"/>
      <c r="CKR3" s="525"/>
      <c r="CKS3" s="525"/>
      <c r="CKT3" s="525"/>
      <c r="CKU3" s="525"/>
      <c r="CKV3" s="525"/>
      <c r="CKW3" s="525"/>
      <c r="CKX3" s="525"/>
      <c r="CKY3" s="525"/>
      <c r="CKZ3" s="525"/>
      <c r="CLA3" s="525"/>
      <c r="CLB3" s="525"/>
      <c r="CLC3" s="525"/>
      <c r="CLD3" s="525"/>
      <c r="CLE3" s="525"/>
      <c r="CLF3" s="525"/>
      <c r="CLG3" s="525"/>
      <c r="CLH3" s="525"/>
      <c r="CLI3" s="525"/>
      <c r="CLJ3" s="525"/>
      <c r="CLK3" s="525"/>
      <c r="CLL3" s="525"/>
      <c r="CLM3" s="525"/>
      <c r="CLN3" s="525"/>
      <c r="CLO3" s="525"/>
      <c r="CLP3" s="525"/>
      <c r="CLQ3" s="525"/>
      <c r="CLR3" s="525"/>
      <c r="CLS3" s="525"/>
      <c r="CLT3" s="525"/>
      <c r="CLU3" s="525"/>
      <c r="CLV3" s="525"/>
      <c r="CLW3" s="525"/>
      <c r="CLX3" s="525"/>
      <c r="CLY3" s="525"/>
      <c r="CLZ3" s="525"/>
      <c r="CMA3" s="525"/>
      <c r="CMB3" s="525"/>
      <c r="CMC3" s="525"/>
      <c r="CMD3" s="525"/>
      <c r="CME3" s="525"/>
      <c r="CMF3" s="525"/>
      <c r="CMG3" s="525"/>
      <c r="CMH3" s="525"/>
      <c r="CMI3" s="525"/>
      <c r="CMJ3" s="525"/>
      <c r="CMK3" s="525"/>
      <c r="CML3" s="525"/>
      <c r="CMM3" s="525"/>
      <c r="CMN3" s="525"/>
      <c r="CMO3" s="525"/>
      <c r="CMP3" s="525"/>
      <c r="CMQ3" s="525"/>
      <c r="CMR3" s="525"/>
      <c r="CMS3" s="525"/>
      <c r="CMT3" s="525"/>
      <c r="CMU3" s="525"/>
      <c r="CMV3" s="525"/>
      <c r="CMW3" s="525"/>
      <c r="CMX3" s="525"/>
      <c r="CMY3" s="525"/>
      <c r="CMZ3" s="525"/>
      <c r="CNA3" s="525"/>
      <c r="CNB3" s="525"/>
      <c r="CNC3" s="525"/>
      <c r="CND3" s="525"/>
      <c r="CNE3" s="525"/>
      <c r="CNF3" s="525"/>
      <c r="CNG3" s="525"/>
      <c r="CNH3" s="525"/>
      <c r="CNI3" s="525"/>
      <c r="CNJ3" s="525"/>
      <c r="CNK3" s="525"/>
      <c r="CNL3" s="525"/>
      <c r="CNM3" s="525"/>
      <c r="CNN3" s="525"/>
      <c r="CNO3" s="525"/>
      <c r="CNP3" s="525"/>
      <c r="CNQ3" s="525"/>
      <c r="CNR3" s="525"/>
      <c r="CNS3" s="525"/>
      <c r="CNT3" s="525"/>
      <c r="CNU3" s="525"/>
      <c r="CNV3" s="525"/>
      <c r="CNW3" s="525"/>
      <c r="CNX3" s="525"/>
      <c r="CNY3" s="525"/>
      <c r="CNZ3" s="525"/>
      <c r="COA3" s="525"/>
      <c r="COB3" s="525"/>
      <c r="COC3" s="525"/>
      <c r="COD3" s="525"/>
      <c r="COE3" s="525"/>
      <c r="COF3" s="525"/>
      <c r="COG3" s="525"/>
      <c r="COH3" s="525"/>
      <c r="COI3" s="525"/>
      <c r="COJ3" s="525"/>
      <c r="COK3" s="525"/>
      <c r="COL3" s="525"/>
      <c r="COM3" s="525"/>
      <c r="CON3" s="525"/>
      <c r="COO3" s="525"/>
      <c r="COP3" s="525"/>
      <c r="COQ3" s="525"/>
      <c r="COR3" s="525"/>
      <c r="COS3" s="525"/>
      <c r="COT3" s="525"/>
      <c r="COU3" s="525"/>
      <c r="COV3" s="525"/>
      <c r="COW3" s="525"/>
      <c r="COX3" s="525"/>
      <c r="COY3" s="525"/>
      <c r="COZ3" s="525"/>
      <c r="CPA3" s="525"/>
      <c r="CPB3" s="525"/>
      <c r="CPC3" s="525"/>
      <c r="CPD3" s="525"/>
      <c r="CPE3" s="525"/>
      <c r="CPF3" s="525"/>
      <c r="CPG3" s="525"/>
      <c r="CPH3" s="525"/>
      <c r="CPI3" s="525"/>
      <c r="CPJ3" s="525"/>
      <c r="CPK3" s="525"/>
      <c r="CPL3" s="525"/>
      <c r="CPM3" s="525"/>
      <c r="CPN3" s="525"/>
      <c r="CPO3" s="525"/>
      <c r="CPP3" s="525"/>
      <c r="CPQ3" s="525"/>
      <c r="CPR3" s="525"/>
      <c r="CPS3" s="525"/>
      <c r="CPT3" s="525"/>
      <c r="CPU3" s="525"/>
      <c r="CPV3" s="525"/>
      <c r="CPW3" s="525"/>
      <c r="CPX3" s="525"/>
      <c r="CPY3" s="525"/>
      <c r="CPZ3" s="525"/>
      <c r="CQA3" s="525"/>
      <c r="CQB3" s="525"/>
      <c r="CQC3" s="525"/>
      <c r="CQD3" s="525"/>
      <c r="CQE3" s="525"/>
      <c r="CQF3" s="525"/>
      <c r="CQG3" s="525"/>
      <c r="CQH3" s="525"/>
      <c r="CQI3" s="525"/>
      <c r="CQJ3" s="525"/>
      <c r="CQK3" s="525"/>
      <c r="CQL3" s="525"/>
      <c r="CQM3" s="525"/>
      <c r="CQN3" s="525"/>
      <c r="CQO3" s="525"/>
      <c r="CQP3" s="525"/>
      <c r="CQQ3" s="525"/>
      <c r="CQR3" s="525"/>
      <c r="CQS3" s="525"/>
      <c r="CQT3" s="525"/>
      <c r="CQU3" s="525"/>
      <c r="CQV3" s="525"/>
      <c r="CQW3" s="525"/>
      <c r="CQX3" s="525"/>
      <c r="CQY3" s="525"/>
      <c r="CQZ3" s="525"/>
      <c r="CRA3" s="525"/>
      <c r="CRB3" s="525"/>
      <c r="CRC3" s="525"/>
      <c r="CRD3" s="525"/>
      <c r="CRE3" s="525"/>
      <c r="CRF3" s="525"/>
      <c r="CRG3" s="525"/>
      <c r="CRH3" s="525"/>
      <c r="CRI3" s="525"/>
      <c r="CRJ3" s="525"/>
      <c r="CRK3" s="525"/>
      <c r="CRL3" s="525"/>
      <c r="CRM3" s="525"/>
      <c r="CRN3" s="525"/>
      <c r="CRO3" s="525"/>
      <c r="CRP3" s="525"/>
      <c r="CRQ3" s="525"/>
      <c r="CRR3" s="525"/>
      <c r="CRS3" s="525"/>
      <c r="CRT3" s="525"/>
      <c r="CRU3" s="525"/>
      <c r="CRV3" s="525"/>
      <c r="CRW3" s="525"/>
      <c r="CRX3" s="525"/>
      <c r="CRY3" s="525"/>
      <c r="CRZ3" s="525"/>
      <c r="CSA3" s="525"/>
      <c r="CSB3" s="525"/>
      <c r="CSC3" s="525"/>
      <c r="CSD3" s="525"/>
      <c r="CSE3" s="525"/>
      <c r="CSF3" s="525"/>
      <c r="CSG3" s="525"/>
      <c r="CSH3" s="525"/>
      <c r="CSI3" s="525"/>
      <c r="CSJ3" s="525"/>
      <c r="CSK3" s="525"/>
      <c r="CSL3" s="525"/>
      <c r="CSM3" s="525"/>
      <c r="CSN3" s="525"/>
      <c r="CSO3" s="525"/>
      <c r="CSP3" s="525"/>
      <c r="CSQ3" s="525"/>
      <c r="CSR3" s="525"/>
      <c r="CSS3" s="525"/>
      <c r="CST3" s="525"/>
      <c r="CSU3" s="525"/>
      <c r="CSV3" s="525"/>
      <c r="CSW3" s="525"/>
      <c r="CSX3" s="525"/>
      <c r="CSY3" s="525"/>
      <c r="CSZ3" s="525"/>
      <c r="CTA3" s="525"/>
      <c r="CTB3" s="525"/>
      <c r="CTC3" s="525"/>
      <c r="CTD3" s="525"/>
      <c r="CTE3" s="525"/>
      <c r="CTF3" s="525"/>
      <c r="CTG3" s="525"/>
      <c r="CTH3" s="525"/>
      <c r="CTI3" s="525"/>
      <c r="CTJ3" s="525"/>
      <c r="CTK3" s="525"/>
      <c r="CTL3" s="525"/>
      <c r="CTM3" s="525"/>
      <c r="CTN3" s="525"/>
      <c r="CTO3" s="525"/>
      <c r="CTP3" s="525"/>
      <c r="CTQ3" s="525"/>
      <c r="CTR3" s="525"/>
      <c r="CTS3" s="525"/>
      <c r="CTT3" s="525"/>
      <c r="CTU3" s="525"/>
      <c r="CTV3" s="525"/>
      <c r="CTW3" s="525"/>
      <c r="CTX3" s="525"/>
      <c r="CTY3" s="525"/>
      <c r="CTZ3" s="525"/>
      <c r="CUA3" s="525"/>
      <c r="CUB3" s="525"/>
      <c r="CUC3" s="525"/>
      <c r="CUD3" s="525"/>
      <c r="CUE3" s="525"/>
      <c r="CUF3" s="525"/>
      <c r="CUG3" s="525"/>
      <c r="CUH3" s="525"/>
      <c r="CUI3" s="525"/>
      <c r="CUJ3" s="525"/>
      <c r="CUK3" s="525"/>
      <c r="CUL3" s="525"/>
      <c r="CUM3" s="525"/>
      <c r="CUN3" s="525"/>
      <c r="CUO3" s="525"/>
      <c r="CUP3" s="525"/>
      <c r="CUQ3" s="525"/>
      <c r="CUR3" s="525"/>
      <c r="CUS3" s="525"/>
      <c r="CUT3" s="525"/>
      <c r="CUU3" s="525"/>
      <c r="CUV3" s="525"/>
      <c r="CUW3" s="525"/>
      <c r="CUX3" s="525"/>
      <c r="CUY3" s="525"/>
      <c r="CUZ3" s="525"/>
      <c r="CVA3" s="525"/>
      <c r="CVB3" s="525"/>
      <c r="CVC3" s="525"/>
      <c r="CVD3" s="525"/>
      <c r="CVE3" s="525"/>
      <c r="CVF3" s="525"/>
      <c r="CVG3" s="525"/>
      <c r="CVH3" s="525"/>
      <c r="CVI3" s="525"/>
      <c r="CVJ3" s="525"/>
      <c r="CVK3" s="525"/>
      <c r="CVL3" s="525"/>
      <c r="CVM3" s="525"/>
      <c r="CVN3" s="525"/>
      <c r="CVO3" s="525"/>
      <c r="CVP3" s="525"/>
      <c r="CVQ3" s="525"/>
      <c r="CVR3" s="525"/>
      <c r="CVS3" s="525"/>
      <c r="CVT3" s="525"/>
      <c r="CVU3" s="525"/>
      <c r="CVV3" s="525"/>
      <c r="CVW3" s="525"/>
      <c r="CVX3" s="525"/>
      <c r="CVY3" s="525"/>
      <c r="CVZ3" s="525"/>
      <c r="CWA3" s="525"/>
      <c r="CWB3" s="525"/>
      <c r="CWC3" s="525"/>
      <c r="CWD3" s="525"/>
      <c r="CWE3" s="525"/>
      <c r="CWF3" s="525"/>
      <c r="CWG3" s="525"/>
      <c r="CWH3" s="525"/>
      <c r="CWI3" s="525"/>
      <c r="CWJ3" s="525"/>
      <c r="CWK3" s="525"/>
      <c r="CWL3" s="525"/>
      <c r="CWM3" s="525"/>
      <c r="CWN3" s="525"/>
      <c r="CWO3" s="525"/>
      <c r="CWP3" s="525"/>
      <c r="CWQ3" s="525"/>
      <c r="CWR3" s="525"/>
      <c r="CWS3" s="525"/>
      <c r="CWT3" s="525"/>
      <c r="CWU3" s="525"/>
      <c r="CWV3" s="525"/>
      <c r="CWW3" s="525"/>
      <c r="CWX3" s="525"/>
      <c r="CWY3" s="525"/>
      <c r="CWZ3" s="525"/>
      <c r="CXA3" s="525"/>
      <c r="CXB3" s="525"/>
      <c r="CXC3" s="525"/>
      <c r="CXD3" s="525"/>
      <c r="CXE3" s="525"/>
      <c r="CXF3" s="525"/>
      <c r="CXG3" s="525"/>
      <c r="CXH3" s="525"/>
      <c r="CXI3" s="525"/>
      <c r="CXJ3" s="525"/>
      <c r="CXK3" s="525"/>
      <c r="CXL3" s="525"/>
      <c r="CXM3" s="525"/>
      <c r="CXN3" s="525"/>
      <c r="CXO3" s="525"/>
      <c r="CXP3" s="525"/>
      <c r="CXQ3" s="525"/>
      <c r="CXR3" s="525"/>
      <c r="CXS3" s="525"/>
      <c r="CXT3" s="525"/>
      <c r="CXU3" s="525"/>
      <c r="CXV3" s="525"/>
      <c r="CXW3" s="525"/>
      <c r="CXX3" s="525"/>
      <c r="CXY3" s="525"/>
      <c r="CXZ3" s="525"/>
      <c r="CYA3" s="525"/>
      <c r="CYB3" s="525"/>
      <c r="CYC3" s="525"/>
      <c r="CYD3" s="525"/>
      <c r="CYE3" s="525"/>
      <c r="CYF3" s="525"/>
      <c r="CYG3" s="525"/>
      <c r="CYH3" s="525"/>
      <c r="CYI3" s="525"/>
      <c r="CYJ3" s="525"/>
      <c r="CYK3" s="525"/>
      <c r="CYL3" s="525"/>
      <c r="CYM3" s="525"/>
      <c r="CYN3" s="525"/>
      <c r="CYO3" s="525"/>
      <c r="CYP3" s="525"/>
      <c r="CYQ3" s="525"/>
      <c r="CYR3" s="525"/>
      <c r="CYS3" s="525"/>
      <c r="CYT3" s="525"/>
      <c r="CYU3" s="525"/>
      <c r="CYV3" s="525"/>
      <c r="CYW3" s="525"/>
      <c r="CYX3" s="525"/>
      <c r="CYY3" s="525"/>
      <c r="CYZ3" s="525"/>
      <c r="CZA3" s="525"/>
      <c r="CZB3" s="525"/>
      <c r="CZC3" s="525"/>
      <c r="CZD3" s="525"/>
      <c r="CZE3" s="525"/>
      <c r="CZF3" s="525"/>
      <c r="CZG3" s="525"/>
      <c r="CZH3" s="525"/>
      <c r="CZI3" s="525"/>
      <c r="CZJ3" s="525"/>
      <c r="CZK3" s="525"/>
      <c r="CZL3" s="525"/>
      <c r="CZM3" s="525"/>
      <c r="CZN3" s="525"/>
      <c r="CZO3" s="525"/>
      <c r="CZP3" s="525"/>
      <c r="CZQ3" s="525"/>
      <c r="CZR3" s="525"/>
      <c r="CZS3" s="525"/>
      <c r="CZT3" s="525"/>
      <c r="CZU3" s="525"/>
      <c r="CZV3" s="525"/>
      <c r="CZW3" s="525"/>
      <c r="CZX3" s="525"/>
      <c r="CZY3" s="525"/>
      <c r="CZZ3" s="525"/>
      <c r="DAA3" s="525"/>
      <c r="DAB3" s="525"/>
      <c r="DAC3" s="525"/>
      <c r="DAD3" s="525"/>
      <c r="DAE3" s="525"/>
      <c r="DAF3" s="525"/>
      <c r="DAG3" s="525"/>
      <c r="DAH3" s="525"/>
      <c r="DAI3" s="525"/>
      <c r="DAJ3" s="525"/>
      <c r="DAK3" s="525"/>
      <c r="DAL3" s="525"/>
      <c r="DAM3" s="525"/>
      <c r="DAN3" s="525"/>
      <c r="DAO3" s="525"/>
      <c r="DAP3" s="525"/>
      <c r="DAQ3" s="525"/>
      <c r="DAR3" s="525"/>
      <c r="DAS3" s="525"/>
      <c r="DAT3" s="525"/>
      <c r="DAU3" s="525"/>
      <c r="DAV3" s="525"/>
      <c r="DAW3" s="525"/>
      <c r="DAX3" s="525"/>
      <c r="DAY3" s="525"/>
      <c r="DAZ3" s="525"/>
      <c r="DBA3" s="525"/>
      <c r="DBB3" s="525"/>
      <c r="DBC3" s="525"/>
      <c r="DBD3" s="525"/>
      <c r="DBE3" s="525"/>
      <c r="DBF3" s="525"/>
      <c r="DBG3" s="525"/>
      <c r="DBH3" s="525"/>
      <c r="DBI3" s="525"/>
      <c r="DBJ3" s="525"/>
      <c r="DBK3" s="525"/>
      <c r="DBL3" s="525"/>
      <c r="DBM3" s="525"/>
      <c r="DBN3" s="525"/>
      <c r="DBO3" s="525"/>
      <c r="DBP3" s="525"/>
      <c r="DBQ3" s="525"/>
      <c r="DBR3" s="525"/>
      <c r="DBS3" s="525"/>
      <c r="DBT3" s="525"/>
      <c r="DBU3" s="525"/>
      <c r="DBV3" s="525"/>
      <c r="DBW3" s="525"/>
      <c r="DBX3" s="525"/>
      <c r="DBY3" s="525"/>
      <c r="DBZ3" s="525"/>
      <c r="DCA3" s="525"/>
      <c r="DCB3" s="525"/>
      <c r="DCC3" s="525"/>
      <c r="DCD3" s="525"/>
      <c r="DCE3" s="525"/>
      <c r="DCF3" s="525"/>
      <c r="DCG3" s="525"/>
      <c r="DCH3" s="525"/>
      <c r="DCI3" s="525"/>
      <c r="DCJ3" s="525"/>
      <c r="DCK3" s="525"/>
      <c r="DCL3" s="525"/>
      <c r="DCM3" s="525"/>
      <c r="DCN3" s="525"/>
      <c r="DCO3" s="525"/>
      <c r="DCP3" s="525"/>
      <c r="DCQ3" s="525"/>
      <c r="DCR3" s="525"/>
      <c r="DCS3" s="525"/>
      <c r="DCT3" s="525"/>
      <c r="DCU3" s="525"/>
      <c r="DCV3" s="525"/>
      <c r="DCW3" s="525"/>
      <c r="DCX3" s="525"/>
      <c r="DCY3" s="525"/>
      <c r="DCZ3" s="525"/>
      <c r="DDA3" s="525"/>
      <c r="DDB3" s="525"/>
      <c r="DDC3" s="525"/>
      <c r="DDD3" s="525"/>
      <c r="DDE3" s="525"/>
      <c r="DDF3" s="525"/>
      <c r="DDG3" s="525"/>
      <c r="DDH3" s="525"/>
      <c r="DDI3" s="525"/>
      <c r="DDJ3" s="525"/>
      <c r="DDK3" s="525"/>
      <c r="DDL3" s="525"/>
      <c r="DDM3" s="525"/>
      <c r="DDN3" s="525"/>
      <c r="DDO3" s="525"/>
      <c r="DDP3" s="525"/>
      <c r="DDQ3" s="525"/>
      <c r="DDR3" s="525"/>
      <c r="DDS3" s="525"/>
      <c r="DDT3" s="525"/>
      <c r="DDU3" s="525"/>
      <c r="DDV3" s="525"/>
      <c r="DDW3" s="525"/>
      <c r="DDX3" s="525"/>
      <c r="DDY3" s="525"/>
      <c r="DDZ3" s="525"/>
      <c r="DEA3" s="525"/>
      <c r="DEB3" s="525"/>
      <c r="DEC3" s="525"/>
      <c r="DED3" s="525"/>
      <c r="DEE3" s="525"/>
      <c r="DEF3" s="525"/>
      <c r="DEG3" s="525"/>
      <c r="DEH3" s="525"/>
      <c r="DEI3" s="525"/>
      <c r="DEJ3" s="525"/>
      <c r="DEK3" s="525"/>
      <c r="DEL3" s="525"/>
      <c r="DEM3" s="525"/>
      <c r="DEN3" s="525"/>
      <c r="DEO3" s="525"/>
      <c r="DEP3" s="525"/>
      <c r="DEQ3" s="525"/>
      <c r="DER3" s="525"/>
      <c r="DES3" s="525"/>
      <c r="DET3" s="525"/>
      <c r="DEU3" s="525"/>
      <c r="DEV3" s="525"/>
      <c r="DEW3" s="525"/>
      <c r="DEX3" s="525"/>
      <c r="DEY3" s="525"/>
      <c r="DEZ3" s="525"/>
      <c r="DFA3" s="525"/>
      <c r="DFB3" s="525"/>
      <c r="DFC3" s="525"/>
      <c r="DFD3" s="525"/>
      <c r="DFE3" s="525"/>
      <c r="DFF3" s="525"/>
      <c r="DFG3" s="525"/>
      <c r="DFH3" s="525"/>
      <c r="DFI3" s="525"/>
      <c r="DFJ3" s="525"/>
      <c r="DFK3" s="525"/>
      <c r="DFL3" s="525"/>
      <c r="DFM3" s="525"/>
      <c r="DFN3" s="525"/>
      <c r="DFO3" s="525"/>
      <c r="DFP3" s="525"/>
      <c r="DFQ3" s="525"/>
      <c r="DFR3" s="525"/>
      <c r="DFS3" s="525"/>
      <c r="DFT3" s="525"/>
      <c r="DFU3" s="525"/>
      <c r="DFV3" s="525"/>
      <c r="DFW3" s="525"/>
      <c r="DFX3" s="525"/>
      <c r="DFY3" s="525"/>
      <c r="DFZ3" s="525"/>
      <c r="DGA3" s="525"/>
      <c r="DGB3" s="525"/>
      <c r="DGC3" s="525"/>
      <c r="DGD3" s="525"/>
      <c r="DGE3" s="525"/>
      <c r="DGF3" s="525"/>
      <c r="DGG3" s="525"/>
      <c r="DGH3" s="525"/>
      <c r="DGI3" s="525"/>
      <c r="DGJ3" s="525"/>
      <c r="DGK3" s="525"/>
      <c r="DGL3" s="525"/>
      <c r="DGM3" s="525"/>
      <c r="DGN3" s="525"/>
      <c r="DGO3" s="525"/>
      <c r="DGP3" s="525"/>
      <c r="DGQ3" s="525"/>
      <c r="DGR3" s="525"/>
      <c r="DGS3" s="525"/>
      <c r="DGT3" s="525"/>
      <c r="DGU3" s="525"/>
      <c r="DGV3" s="525"/>
      <c r="DGW3" s="525"/>
      <c r="DGX3" s="525"/>
      <c r="DGY3" s="525"/>
      <c r="DGZ3" s="525"/>
      <c r="DHA3" s="525"/>
      <c r="DHB3" s="525"/>
      <c r="DHC3" s="525"/>
      <c r="DHD3" s="525"/>
      <c r="DHE3" s="525"/>
      <c r="DHF3" s="525"/>
      <c r="DHG3" s="525"/>
      <c r="DHH3" s="525"/>
      <c r="DHI3" s="525"/>
      <c r="DHJ3" s="525"/>
      <c r="DHK3" s="525"/>
      <c r="DHL3" s="525"/>
      <c r="DHM3" s="525"/>
      <c r="DHN3" s="525"/>
      <c r="DHO3" s="525"/>
      <c r="DHP3" s="525"/>
      <c r="DHQ3" s="525"/>
      <c r="DHR3" s="525"/>
      <c r="DHS3" s="525"/>
      <c r="DHT3" s="525"/>
      <c r="DHU3" s="525"/>
      <c r="DHV3" s="525"/>
      <c r="DHW3" s="525"/>
      <c r="DHX3" s="525"/>
      <c r="DHY3" s="525"/>
      <c r="DHZ3" s="525"/>
      <c r="DIA3" s="525"/>
      <c r="DIB3" s="525"/>
      <c r="DIC3" s="525"/>
      <c r="DID3" s="525"/>
      <c r="DIE3" s="525"/>
      <c r="DIF3" s="525"/>
      <c r="DIG3" s="525"/>
      <c r="DIH3" s="525"/>
      <c r="DII3" s="525"/>
      <c r="DIJ3" s="525"/>
      <c r="DIK3" s="525"/>
      <c r="DIL3" s="525"/>
      <c r="DIM3" s="525"/>
      <c r="DIN3" s="525"/>
      <c r="DIO3" s="525"/>
      <c r="DIP3" s="525"/>
      <c r="DIQ3" s="525"/>
      <c r="DIR3" s="525"/>
      <c r="DIS3" s="525"/>
      <c r="DIT3" s="525"/>
      <c r="DIU3" s="525"/>
      <c r="DIV3" s="525"/>
      <c r="DIW3" s="525"/>
      <c r="DIX3" s="525"/>
      <c r="DIY3" s="525"/>
      <c r="DIZ3" s="525"/>
      <c r="DJA3" s="525"/>
      <c r="DJB3" s="525"/>
      <c r="DJC3" s="525"/>
      <c r="DJD3" s="525"/>
      <c r="DJE3" s="525"/>
      <c r="DJF3" s="525"/>
      <c r="DJG3" s="525"/>
      <c r="DJH3" s="525"/>
      <c r="DJI3" s="525"/>
      <c r="DJJ3" s="525"/>
      <c r="DJK3" s="525"/>
      <c r="DJL3" s="525"/>
      <c r="DJM3" s="525"/>
      <c r="DJN3" s="525"/>
      <c r="DJO3" s="525"/>
      <c r="DJP3" s="525"/>
      <c r="DJQ3" s="525"/>
      <c r="DJR3" s="525"/>
      <c r="DJS3" s="525"/>
      <c r="DJT3" s="525"/>
      <c r="DJU3" s="525"/>
      <c r="DJV3" s="525"/>
      <c r="DJW3" s="525"/>
      <c r="DJX3" s="525"/>
      <c r="DJY3" s="525"/>
      <c r="DJZ3" s="525"/>
      <c r="DKA3" s="525"/>
      <c r="DKB3" s="525"/>
      <c r="DKC3" s="525"/>
      <c r="DKD3" s="525"/>
      <c r="DKE3" s="525"/>
      <c r="DKF3" s="525"/>
      <c r="DKG3" s="525"/>
      <c r="DKH3" s="525"/>
      <c r="DKI3" s="525"/>
      <c r="DKJ3" s="525"/>
      <c r="DKK3" s="525"/>
      <c r="DKL3" s="525"/>
      <c r="DKM3" s="525"/>
      <c r="DKN3" s="525"/>
      <c r="DKO3" s="525"/>
      <c r="DKP3" s="525"/>
      <c r="DKQ3" s="525"/>
      <c r="DKR3" s="525"/>
      <c r="DKS3" s="525"/>
      <c r="DKT3" s="525"/>
      <c r="DKU3" s="525"/>
      <c r="DKV3" s="525"/>
      <c r="DKW3" s="525"/>
      <c r="DKX3" s="525"/>
      <c r="DKY3" s="525"/>
      <c r="DKZ3" s="525"/>
      <c r="DLA3" s="525"/>
      <c r="DLB3" s="525"/>
      <c r="DLC3" s="525"/>
      <c r="DLD3" s="525"/>
      <c r="DLE3" s="525"/>
      <c r="DLF3" s="525"/>
      <c r="DLG3" s="525"/>
      <c r="DLH3" s="525"/>
      <c r="DLI3" s="525"/>
      <c r="DLJ3" s="525"/>
      <c r="DLK3" s="525"/>
      <c r="DLL3" s="525"/>
      <c r="DLM3" s="525"/>
      <c r="DLN3" s="525"/>
      <c r="DLO3" s="525"/>
      <c r="DLP3" s="525"/>
      <c r="DLQ3" s="525"/>
      <c r="DLR3" s="525"/>
      <c r="DLS3" s="525"/>
      <c r="DLT3" s="525"/>
      <c r="DLU3" s="525"/>
      <c r="DLV3" s="525"/>
      <c r="DLW3" s="525"/>
      <c r="DLX3" s="525"/>
      <c r="DLY3" s="525"/>
      <c r="DLZ3" s="525"/>
      <c r="DMA3" s="525"/>
      <c r="DMB3" s="525"/>
      <c r="DMC3" s="525"/>
      <c r="DMD3" s="525"/>
      <c r="DME3" s="525"/>
      <c r="DMF3" s="525"/>
      <c r="DMG3" s="525"/>
      <c r="DMH3" s="525"/>
      <c r="DMI3" s="525"/>
      <c r="DMJ3" s="525"/>
      <c r="DMK3" s="525"/>
      <c r="DML3" s="525"/>
      <c r="DMM3" s="525"/>
      <c r="DMN3" s="525"/>
      <c r="DMO3" s="525"/>
      <c r="DMP3" s="525"/>
      <c r="DMQ3" s="525"/>
      <c r="DMR3" s="525"/>
      <c r="DMS3" s="525"/>
      <c r="DMT3" s="525"/>
      <c r="DMU3" s="525"/>
      <c r="DMV3" s="525"/>
      <c r="DMW3" s="525"/>
      <c r="DMX3" s="525"/>
      <c r="DMY3" s="525"/>
      <c r="DMZ3" s="525"/>
      <c r="DNA3" s="525"/>
      <c r="DNB3" s="525"/>
      <c r="DNC3" s="525"/>
      <c r="DND3" s="525"/>
      <c r="DNE3" s="525"/>
      <c r="DNF3" s="525"/>
      <c r="DNG3" s="525"/>
      <c r="DNH3" s="525"/>
      <c r="DNI3" s="525"/>
      <c r="DNJ3" s="525"/>
      <c r="DNK3" s="525"/>
      <c r="DNL3" s="525"/>
      <c r="DNM3" s="525"/>
      <c r="DNN3" s="525"/>
      <c r="DNO3" s="525"/>
      <c r="DNP3" s="525"/>
      <c r="DNQ3" s="525"/>
      <c r="DNR3" s="525"/>
      <c r="DNS3" s="525"/>
      <c r="DNT3" s="525"/>
      <c r="DNU3" s="525"/>
      <c r="DNV3" s="525"/>
      <c r="DNW3" s="525"/>
      <c r="DNX3" s="525"/>
      <c r="DNY3" s="525"/>
      <c r="DNZ3" s="525"/>
      <c r="DOA3" s="525"/>
      <c r="DOB3" s="525"/>
      <c r="DOC3" s="525"/>
      <c r="DOD3" s="525"/>
      <c r="DOE3" s="525"/>
      <c r="DOF3" s="525"/>
      <c r="DOG3" s="525"/>
      <c r="DOH3" s="525"/>
      <c r="DOI3" s="525"/>
      <c r="DOJ3" s="525"/>
      <c r="DOK3" s="525"/>
      <c r="DOL3" s="525"/>
      <c r="DOM3" s="525"/>
      <c r="DON3" s="525"/>
      <c r="DOO3" s="525"/>
      <c r="DOP3" s="525"/>
      <c r="DOQ3" s="525"/>
      <c r="DOR3" s="525"/>
      <c r="DOS3" s="525"/>
      <c r="DOT3" s="525"/>
      <c r="DOU3" s="525"/>
      <c r="DOV3" s="525"/>
      <c r="DOW3" s="525"/>
      <c r="DOX3" s="525"/>
      <c r="DOY3" s="525"/>
      <c r="DOZ3" s="525"/>
      <c r="DPA3" s="525"/>
      <c r="DPB3" s="525"/>
      <c r="DPC3" s="525"/>
      <c r="DPD3" s="525"/>
      <c r="DPE3" s="525"/>
      <c r="DPF3" s="525"/>
      <c r="DPG3" s="525"/>
      <c r="DPH3" s="525"/>
      <c r="DPI3" s="525"/>
      <c r="DPJ3" s="525"/>
      <c r="DPK3" s="525"/>
      <c r="DPL3" s="525"/>
      <c r="DPM3" s="525"/>
      <c r="DPN3" s="525"/>
      <c r="DPO3" s="525"/>
      <c r="DPP3" s="525"/>
      <c r="DPQ3" s="525"/>
      <c r="DPR3" s="525"/>
      <c r="DPS3" s="525"/>
      <c r="DPT3" s="525"/>
      <c r="DPU3" s="525"/>
      <c r="DPV3" s="525"/>
      <c r="DPW3" s="525"/>
      <c r="DPX3" s="525"/>
      <c r="DPY3" s="525"/>
      <c r="DPZ3" s="525"/>
      <c r="DQA3" s="525"/>
      <c r="DQB3" s="525"/>
      <c r="DQC3" s="525"/>
      <c r="DQD3" s="525"/>
      <c r="DQE3" s="525"/>
      <c r="DQF3" s="525"/>
      <c r="DQG3" s="525"/>
      <c r="DQH3" s="525"/>
      <c r="DQI3" s="525"/>
      <c r="DQJ3" s="525"/>
      <c r="DQK3" s="525"/>
      <c r="DQL3" s="525"/>
      <c r="DQM3" s="525"/>
      <c r="DQN3" s="525"/>
      <c r="DQO3" s="525"/>
      <c r="DQP3" s="525"/>
      <c r="DQQ3" s="525"/>
      <c r="DQR3" s="525"/>
      <c r="DQS3" s="525"/>
      <c r="DQT3" s="525"/>
      <c r="DQU3" s="525"/>
      <c r="DQV3" s="525"/>
      <c r="DQW3" s="525"/>
      <c r="DQX3" s="525"/>
      <c r="DQY3" s="525"/>
      <c r="DQZ3" s="525"/>
      <c r="DRA3" s="525"/>
      <c r="DRB3" s="525"/>
      <c r="DRC3" s="525"/>
      <c r="DRD3" s="525"/>
      <c r="DRE3" s="525"/>
      <c r="DRF3" s="525"/>
      <c r="DRG3" s="525"/>
      <c r="DRH3" s="525"/>
      <c r="DRI3" s="525"/>
      <c r="DRJ3" s="525"/>
      <c r="DRK3" s="525"/>
      <c r="DRL3" s="525"/>
      <c r="DRM3" s="525"/>
      <c r="DRN3" s="525"/>
      <c r="DRO3" s="525"/>
      <c r="DRP3" s="525"/>
      <c r="DRQ3" s="525"/>
      <c r="DRR3" s="525"/>
      <c r="DRS3" s="525"/>
      <c r="DRT3" s="525"/>
      <c r="DRU3" s="525"/>
      <c r="DRV3" s="525"/>
      <c r="DRW3" s="525"/>
      <c r="DRX3" s="525"/>
      <c r="DRY3" s="525"/>
      <c r="DRZ3" s="525"/>
      <c r="DSA3" s="525"/>
      <c r="DSB3" s="525"/>
      <c r="DSC3" s="525"/>
      <c r="DSD3" s="525"/>
      <c r="DSE3" s="525"/>
      <c r="DSF3" s="525"/>
      <c r="DSG3" s="525"/>
      <c r="DSH3" s="525"/>
      <c r="DSI3" s="525"/>
      <c r="DSJ3" s="525"/>
      <c r="DSK3" s="525"/>
      <c r="DSL3" s="525"/>
      <c r="DSM3" s="525"/>
      <c r="DSN3" s="525"/>
      <c r="DSO3" s="525"/>
      <c r="DSP3" s="525"/>
      <c r="DSQ3" s="525"/>
      <c r="DSR3" s="525"/>
      <c r="DSS3" s="525"/>
      <c r="DST3" s="525"/>
      <c r="DSU3" s="525"/>
      <c r="DSV3" s="525"/>
      <c r="DSW3" s="525"/>
      <c r="DSX3" s="525"/>
      <c r="DSY3" s="525"/>
      <c r="DSZ3" s="525"/>
      <c r="DTA3" s="525"/>
      <c r="DTB3" s="525"/>
      <c r="DTC3" s="525"/>
      <c r="DTD3" s="525"/>
      <c r="DTE3" s="525"/>
      <c r="DTF3" s="525"/>
      <c r="DTG3" s="525"/>
      <c r="DTH3" s="525"/>
      <c r="DTI3" s="525"/>
      <c r="DTJ3" s="525"/>
      <c r="DTK3" s="525"/>
      <c r="DTL3" s="525"/>
      <c r="DTM3" s="525"/>
      <c r="DTN3" s="525"/>
      <c r="DTO3" s="525"/>
      <c r="DTP3" s="525"/>
      <c r="DTQ3" s="525"/>
      <c r="DTR3" s="525"/>
      <c r="DTS3" s="525"/>
      <c r="DTT3" s="525"/>
      <c r="DTU3" s="525"/>
      <c r="DTV3" s="525"/>
      <c r="DTW3" s="525"/>
      <c r="DTX3" s="525"/>
      <c r="DTY3" s="525"/>
      <c r="DTZ3" s="525"/>
      <c r="DUA3" s="525"/>
      <c r="DUB3" s="525"/>
      <c r="DUC3" s="525"/>
      <c r="DUD3" s="525"/>
      <c r="DUE3" s="525"/>
      <c r="DUF3" s="525"/>
      <c r="DUG3" s="525"/>
      <c r="DUH3" s="525"/>
      <c r="DUI3" s="525"/>
      <c r="DUJ3" s="525"/>
      <c r="DUK3" s="525"/>
      <c r="DUL3" s="525"/>
      <c r="DUM3" s="525"/>
      <c r="DUN3" s="525"/>
      <c r="DUO3" s="525"/>
      <c r="DUP3" s="525"/>
      <c r="DUQ3" s="525"/>
      <c r="DUR3" s="525"/>
      <c r="DUS3" s="525"/>
      <c r="DUT3" s="525"/>
      <c r="DUU3" s="525"/>
      <c r="DUV3" s="525"/>
      <c r="DUW3" s="525"/>
      <c r="DUX3" s="525"/>
      <c r="DUY3" s="525"/>
      <c r="DUZ3" s="525"/>
      <c r="DVA3" s="525"/>
      <c r="DVB3" s="525"/>
      <c r="DVC3" s="525"/>
      <c r="DVD3" s="525"/>
      <c r="DVE3" s="525"/>
      <c r="DVF3" s="525"/>
      <c r="DVG3" s="525"/>
      <c r="DVH3" s="525"/>
      <c r="DVI3" s="525"/>
      <c r="DVJ3" s="525"/>
      <c r="DVK3" s="525"/>
      <c r="DVL3" s="525"/>
      <c r="DVM3" s="525"/>
      <c r="DVN3" s="525"/>
      <c r="DVO3" s="525"/>
      <c r="DVP3" s="525"/>
      <c r="DVQ3" s="525"/>
      <c r="DVR3" s="525"/>
      <c r="DVS3" s="525"/>
      <c r="DVT3" s="525"/>
      <c r="DVU3" s="525"/>
      <c r="DVV3" s="525"/>
      <c r="DVW3" s="525"/>
      <c r="DVX3" s="525"/>
      <c r="DVY3" s="525"/>
      <c r="DVZ3" s="525"/>
      <c r="DWA3" s="525"/>
      <c r="DWB3" s="525"/>
      <c r="DWC3" s="525"/>
      <c r="DWD3" s="525"/>
      <c r="DWE3" s="525"/>
      <c r="DWF3" s="525"/>
      <c r="DWG3" s="525"/>
      <c r="DWH3" s="525"/>
      <c r="DWI3" s="525"/>
      <c r="DWJ3" s="525"/>
      <c r="DWK3" s="525"/>
      <c r="DWL3" s="525"/>
      <c r="DWM3" s="525"/>
      <c r="DWN3" s="525"/>
      <c r="DWO3" s="525"/>
      <c r="DWP3" s="525"/>
      <c r="DWQ3" s="525"/>
      <c r="DWR3" s="525"/>
      <c r="DWS3" s="525"/>
      <c r="DWT3" s="525"/>
      <c r="DWU3" s="525"/>
      <c r="DWV3" s="525"/>
      <c r="DWW3" s="525"/>
      <c r="DWX3" s="525"/>
      <c r="DWY3" s="525"/>
      <c r="DWZ3" s="525"/>
      <c r="DXA3" s="525"/>
      <c r="DXB3" s="525"/>
      <c r="DXC3" s="525"/>
      <c r="DXD3" s="525"/>
      <c r="DXE3" s="525"/>
      <c r="DXF3" s="525"/>
      <c r="DXG3" s="525"/>
      <c r="DXH3" s="525"/>
      <c r="DXI3" s="525"/>
      <c r="DXJ3" s="525"/>
      <c r="DXK3" s="525"/>
      <c r="DXL3" s="525"/>
      <c r="DXM3" s="525"/>
      <c r="DXN3" s="525"/>
      <c r="DXO3" s="525"/>
      <c r="DXP3" s="525"/>
      <c r="DXQ3" s="525"/>
      <c r="DXR3" s="525"/>
      <c r="DXS3" s="525"/>
      <c r="DXT3" s="525"/>
      <c r="DXU3" s="525"/>
      <c r="DXV3" s="525"/>
      <c r="DXW3" s="525"/>
      <c r="DXX3" s="525"/>
      <c r="DXY3" s="525"/>
      <c r="DXZ3" s="525"/>
      <c r="DYA3" s="525"/>
      <c r="DYB3" s="525"/>
      <c r="DYC3" s="525"/>
      <c r="DYD3" s="525"/>
      <c r="DYE3" s="525"/>
      <c r="DYF3" s="525"/>
      <c r="DYG3" s="525"/>
      <c r="DYH3" s="525"/>
      <c r="DYI3" s="525"/>
      <c r="DYJ3" s="525"/>
      <c r="DYK3" s="525"/>
      <c r="DYL3" s="525"/>
      <c r="DYM3" s="525"/>
      <c r="DYN3" s="525"/>
      <c r="DYO3" s="525"/>
      <c r="DYP3" s="525"/>
      <c r="DYQ3" s="525"/>
      <c r="DYR3" s="525"/>
      <c r="DYS3" s="525"/>
      <c r="DYT3" s="525"/>
      <c r="DYU3" s="525"/>
      <c r="DYV3" s="525"/>
      <c r="DYW3" s="525"/>
      <c r="DYX3" s="525"/>
      <c r="DYY3" s="525"/>
      <c r="DYZ3" s="525"/>
      <c r="DZA3" s="525"/>
      <c r="DZB3" s="525"/>
      <c r="DZC3" s="525"/>
      <c r="DZD3" s="525"/>
      <c r="DZE3" s="525"/>
      <c r="DZF3" s="525"/>
      <c r="DZG3" s="525"/>
      <c r="DZH3" s="525"/>
      <c r="DZI3" s="525"/>
      <c r="DZJ3" s="525"/>
      <c r="DZK3" s="525"/>
      <c r="DZL3" s="525"/>
      <c r="DZM3" s="525"/>
      <c r="DZN3" s="525"/>
      <c r="DZO3" s="525"/>
      <c r="DZP3" s="525"/>
      <c r="DZQ3" s="525"/>
      <c r="DZR3" s="525"/>
      <c r="DZS3" s="525"/>
      <c r="DZT3" s="525"/>
      <c r="DZU3" s="525"/>
      <c r="DZV3" s="525"/>
      <c r="DZW3" s="525"/>
      <c r="DZX3" s="525"/>
      <c r="DZY3" s="525"/>
      <c r="DZZ3" s="525"/>
      <c r="EAA3" s="525"/>
      <c r="EAB3" s="525"/>
      <c r="EAC3" s="525"/>
      <c r="EAD3" s="525"/>
      <c r="EAE3" s="525"/>
      <c r="EAF3" s="525"/>
      <c r="EAG3" s="525"/>
      <c r="EAH3" s="525"/>
      <c r="EAI3" s="525"/>
      <c r="EAJ3" s="525"/>
      <c r="EAK3" s="525"/>
      <c r="EAL3" s="525"/>
      <c r="EAM3" s="525"/>
      <c r="EAN3" s="525"/>
      <c r="EAO3" s="525"/>
      <c r="EAP3" s="525"/>
      <c r="EAQ3" s="525"/>
      <c r="EAR3" s="525"/>
      <c r="EAS3" s="525"/>
      <c r="EAT3" s="525"/>
      <c r="EAU3" s="525"/>
      <c r="EAV3" s="525"/>
      <c r="EAW3" s="525"/>
      <c r="EAX3" s="525"/>
      <c r="EAY3" s="525"/>
      <c r="EAZ3" s="525"/>
      <c r="EBA3" s="525"/>
      <c r="EBB3" s="525"/>
      <c r="EBC3" s="525"/>
      <c r="EBD3" s="525"/>
      <c r="EBE3" s="525"/>
      <c r="EBF3" s="525"/>
      <c r="EBG3" s="525"/>
      <c r="EBH3" s="525"/>
      <c r="EBI3" s="525"/>
      <c r="EBJ3" s="525"/>
      <c r="EBK3" s="525"/>
      <c r="EBL3" s="525"/>
      <c r="EBM3" s="525"/>
      <c r="EBN3" s="525"/>
      <c r="EBO3" s="525"/>
      <c r="EBP3" s="525"/>
      <c r="EBQ3" s="525"/>
      <c r="EBR3" s="525"/>
      <c r="EBS3" s="525"/>
      <c r="EBT3" s="525"/>
      <c r="EBU3" s="525"/>
      <c r="EBV3" s="525"/>
      <c r="EBW3" s="525"/>
      <c r="EBX3" s="525"/>
      <c r="EBY3" s="525"/>
      <c r="EBZ3" s="525"/>
      <c r="ECA3" s="525"/>
      <c r="ECB3" s="525"/>
      <c r="ECC3" s="525"/>
      <c r="ECD3" s="525"/>
      <c r="ECE3" s="525"/>
      <c r="ECF3" s="525"/>
      <c r="ECG3" s="525"/>
      <c r="ECH3" s="525"/>
      <c r="ECI3" s="525"/>
      <c r="ECJ3" s="525"/>
      <c r="ECK3" s="525"/>
      <c r="ECL3" s="525"/>
      <c r="ECM3" s="525"/>
      <c r="ECN3" s="525"/>
      <c r="ECO3" s="525"/>
      <c r="ECP3" s="525"/>
      <c r="ECQ3" s="525"/>
      <c r="ECR3" s="525"/>
      <c r="ECS3" s="525"/>
      <c r="ECT3" s="525"/>
      <c r="ECU3" s="525"/>
      <c r="ECV3" s="525"/>
      <c r="ECW3" s="525"/>
      <c r="ECX3" s="525"/>
      <c r="ECY3" s="525"/>
      <c r="ECZ3" s="525"/>
      <c r="EDA3" s="525"/>
      <c r="EDB3" s="525"/>
      <c r="EDC3" s="525"/>
      <c r="EDD3" s="525"/>
      <c r="EDE3" s="525"/>
      <c r="EDF3" s="525"/>
      <c r="EDG3" s="525"/>
      <c r="EDH3" s="525"/>
      <c r="EDI3" s="525"/>
      <c r="EDJ3" s="525"/>
      <c r="EDK3" s="525"/>
      <c r="EDL3" s="525"/>
      <c r="EDM3" s="525"/>
      <c r="EDN3" s="525"/>
      <c r="EDO3" s="525"/>
      <c r="EDP3" s="525"/>
      <c r="EDQ3" s="525"/>
      <c r="EDR3" s="525"/>
      <c r="EDS3" s="525"/>
      <c r="EDT3" s="525"/>
      <c r="EDU3" s="525"/>
      <c r="EDV3" s="525"/>
      <c r="EDW3" s="525"/>
      <c r="EDX3" s="525"/>
      <c r="EDY3" s="525"/>
      <c r="EDZ3" s="525"/>
      <c r="EEA3" s="525"/>
      <c r="EEB3" s="525"/>
      <c r="EEC3" s="525"/>
      <c r="EED3" s="525"/>
      <c r="EEE3" s="525"/>
      <c r="EEF3" s="525"/>
      <c r="EEG3" s="525"/>
      <c r="EEH3" s="525"/>
      <c r="EEI3" s="525"/>
      <c r="EEJ3" s="525"/>
      <c r="EEK3" s="525"/>
      <c r="EEL3" s="525"/>
      <c r="EEM3" s="525"/>
      <c r="EEN3" s="525"/>
      <c r="EEO3" s="525"/>
      <c r="EEP3" s="525"/>
      <c r="EEQ3" s="525"/>
      <c r="EER3" s="525"/>
      <c r="EES3" s="525"/>
      <c r="EET3" s="525"/>
      <c r="EEU3" s="525"/>
      <c r="EEV3" s="525"/>
      <c r="EEW3" s="525"/>
      <c r="EEX3" s="525"/>
      <c r="EEY3" s="525"/>
      <c r="EEZ3" s="525"/>
      <c r="EFA3" s="525"/>
      <c r="EFB3" s="525"/>
      <c r="EFC3" s="525"/>
      <c r="EFD3" s="525"/>
      <c r="EFE3" s="525"/>
      <c r="EFF3" s="525"/>
      <c r="EFG3" s="525"/>
      <c r="EFH3" s="525"/>
      <c r="EFI3" s="525"/>
      <c r="EFJ3" s="525"/>
      <c r="EFK3" s="525"/>
      <c r="EFL3" s="525"/>
      <c r="EFM3" s="525"/>
      <c r="EFN3" s="525"/>
      <c r="EFO3" s="525"/>
      <c r="EFP3" s="525"/>
      <c r="EFQ3" s="525"/>
      <c r="EFR3" s="525"/>
      <c r="EFS3" s="525"/>
      <c r="EFT3" s="525"/>
      <c r="EFU3" s="525"/>
      <c r="EFV3" s="525"/>
      <c r="EFW3" s="525"/>
      <c r="EFX3" s="525"/>
      <c r="EFY3" s="525"/>
      <c r="EFZ3" s="525"/>
      <c r="EGA3" s="525"/>
      <c r="EGB3" s="525"/>
      <c r="EGC3" s="525"/>
      <c r="EGD3" s="525"/>
      <c r="EGE3" s="525"/>
      <c r="EGF3" s="525"/>
      <c r="EGG3" s="525"/>
      <c r="EGH3" s="525"/>
      <c r="EGI3" s="525"/>
      <c r="EGJ3" s="525"/>
      <c r="EGK3" s="525"/>
      <c r="EGL3" s="525"/>
      <c r="EGM3" s="525"/>
      <c r="EGN3" s="525"/>
      <c r="EGO3" s="525"/>
      <c r="EGP3" s="525"/>
      <c r="EGQ3" s="525"/>
      <c r="EGR3" s="525"/>
      <c r="EGS3" s="525"/>
      <c r="EGT3" s="525"/>
      <c r="EGU3" s="525"/>
      <c r="EGV3" s="525"/>
      <c r="EGW3" s="525"/>
      <c r="EGX3" s="525"/>
      <c r="EGY3" s="525"/>
      <c r="EGZ3" s="525"/>
      <c r="EHA3" s="525"/>
      <c r="EHB3" s="525"/>
      <c r="EHC3" s="525"/>
      <c r="EHD3" s="525"/>
      <c r="EHE3" s="525"/>
      <c r="EHF3" s="525"/>
      <c r="EHG3" s="525"/>
      <c r="EHH3" s="525"/>
      <c r="EHI3" s="525"/>
      <c r="EHJ3" s="525"/>
      <c r="EHK3" s="525"/>
      <c r="EHL3" s="525"/>
      <c r="EHM3" s="525"/>
      <c r="EHN3" s="525"/>
      <c r="EHO3" s="525"/>
      <c r="EHP3" s="525"/>
      <c r="EHQ3" s="525"/>
      <c r="EHR3" s="525"/>
      <c r="EHS3" s="525"/>
      <c r="EHT3" s="525"/>
      <c r="EHU3" s="525"/>
      <c r="EHV3" s="525"/>
      <c r="EHW3" s="525"/>
      <c r="EHX3" s="525"/>
      <c r="EHY3" s="525"/>
      <c r="EHZ3" s="525"/>
      <c r="EIA3" s="525"/>
      <c r="EIB3" s="525"/>
      <c r="EIC3" s="525"/>
      <c r="EID3" s="525"/>
      <c r="EIE3" s="525"/>
      <c r="EIF3" s="525"/>
      <c r="EIG3" s="525"/>
      <c r="EIH3" s="525"/>
      <c r="EII3" s="525"/>
      <c r="EIJ3" s="525"/>
      <c r="EIK3" s="525"/>
      <c r="EIL3" s="525"/>
      <c r="EIM3" s="525"/>
      <c r="EIN3" s="525"/>
      <c r="EIO3" s="525"/>
      <c r="EIP3" s="525"/>
      <c r="EIQ3" s="525"/>
      <c r="EIR3" s="525"/>
      <c r="EIS3" s="525"/>
      <c r="EIT3" s="525"/>
      <c r="EIU3" s="525"/>
      <c r="EIV3" s="525"/>
      <c r="EIW3" s="525"/>
      <c r="EIX3" s="525"/>
      <c r="EIY3" s="525"/>
      <c r="EIZ3" s="525"/>
      <c r="EJA3" s="525"/>
      <c r="EJB3" s="525"/>
      <c r="EJC3" s="525"/>
      <c r="EJD3" s="525"/>
      <c r="EJE3" s="525"/>
      <c r="EJF3" s="525"/>
      <c r="EJG3" s="525"/>
      <c r="EJH3" s="525"/>
      <c r="EJI3" s="525"/>
      <c r="EJJ3" s="525"/>
      <c r="EJK3" s="525"/>
      <c r="EJL3" s="525"/>
      <c r="EJM3" s="525"/>
      <c r="EJN3" s="525"/>
      <c r="EJO3" s="525"/>
      <c r="EJP3" s="525"/>
      <c r="EJQ3" s="525"/>
      <c r="EJR3" s="525"/>
      <c r="EJS3" s="525"/>
      <c r="EJT3" s="525"/>
      <c r="EJU3" s="525"/>
      <c r="EJV3" s="525"/>
      <c r="EJW3" s="525"/>
      <c r="EJX3" s="525"/>
      <c r="EJY3" s="525"/>
      <c r="EJZ3" s="525"/>
      <c r="EKA3" s="525"/>
      <c r="EKB3" s="525"/>
      <c r="EKC3" s="525"/>
      <c r="EKD3" s="525"/>
      <c r="EKE3" s="525"/>
      <c r="EKF3" s="525"/>
      <c r="EKG3" s="525"/>
      <c r="EKH3" s="525"/>
      <c r="EKI3" s="525"/>
      <c r="EKJ3" s="525"/>
      <c r="EKK3" s="525"/>
      <c r="EKL3" s="525"/>
      <c r="EKM3" s="525"/>
      <c r="EKN3" s="525"/>
      <c r="EKO3" s="525"/>
      <c r="EKP3" s="525"/>
      <c r="EKQ3" s="525"/>
      <c r="EKR3" s="525"/>
      <c r="EKS3" s="525"/>
      <c r="EKT3" s="525"/>
      <c r="EKU3" s="525"/>
      <c r="EKV3" s="525"/>
      <c r="EKW3" s="525"/>
      <c r="EKX3" s="525"/>
      <c r="EKY3" s="525"/>
      <c r="EKZ3" s="525"/>
      <c r="ELA3" s="525"/>
      <c r="ELB3" s="525"/>
      <c r="ELC3" s="525"/>
      <c r="ELD3" s="525"/>
      <c r="ELE3" s="525"/>
      <c r="ELF3" s="525"/>
      <c r="ELG3" s="525"/>
      <c r="ELH3" s="525"/>
      <c r="ELI3" s="525"/>
      <c r="ELJ3" s="525"/>
      <c r="ELK3" s="525"/>
      <c r="ELL3" s="525"/>
      <c r="ELM3" s="525"/>
      <c r="ELN3" s="525"/>
      <c r="ELO3" s="525"/>
      <c r="ELP3" s="525"/>
      <c r="ELQ3" s="525"/>
      <c r="ELR3" s="525"/>
      <c r="ELS3" s="525"/>
      <c r="ELT3" s="525"/>
      <c r="ELU3" s="525"/>
      <c r="ELV3" s="525"/>
      <c r="ELW3" s="525"/>
      <c r="ELX3" s="525"/>
      <c r="ELY3" s="525"/>
      <c r="ELZ3" s="525"/>
      <c r="EMA3" s="525"/>
      <c r="EMB3" s="525"/>
      <c r="EMC3" s="525"/>
      <c r="EMD3" s="525"/>
      <c r="EME3" s="525"/>
      <c r="EMF3" s="525"/>
      <c r="EMG3" s="525"/>
      <c r="EMH3" s="525"/>
      <c r="EMI3" s="525"/>
      <c r="EMJ3" s="525"/>
      <c r="EMK3" s="525"/>
      <c r="EML3" s="525"/>
      <c r="EMM3" s="525"/>
      <c r="EMN3" s="525"/>
      <c r="EMO3" s="525"/>
      <c r="EMP3" s="525"/>
      <c r="EMQ3" s="525"/>
      <c r="EMR3" s="525"/>
      <c r="EMS3" s="525"/>
      <c r="EMT3" s="525"/>
      <c r="EMU3" s="525"/>
      <c r="EMV3" s="525"/>
      <c r="EMW3" s="525"/>
      <c r="EMX3" s="525"/>
      <c r="EMY3" s="525"/>
      <c r="EMZ3" s="525"/>
      <c r="ENA3" s="525"/>
      <c r="ENB3" s="525"/>
      <c r="ENC3" s="525"/>
      <c r="END3" s="525"/>
      <c r="ENE3" s="525"/>
      <c r="ENF3" s="525"/>
      <c r="ENG3" s="525"/>
      <c r="ENH3" s="525"/>
      <c r="ENI3" s="525"/>
      <c r="ENJ3" s="525"/>
      <c r="ENK3" s="525"/>
      <c r="ENL3" s="525"/>
      <c r="ENM3" s="525"/>
      <c r="ENN3" s="525"/>
      <c r="ENO3" s="525"/>
      <c r="ENP3" s="525"/>
      <c r="ENQ3" s="525"/>
      <c r="ENR3" s="525"/>
      <c r="ENS3" s="525"/>
      <c r="ENT3" s="525"/>
      <c r="ENU3" s="525"/>
      <c r="ENV3" s="525"/>
      <c r="ENW3" s="525"/>
      <c r="ENX3" s="525"/>
      <c r="ENY3" s="525"/>
      <c r="ENZ3" s="525"/>
      <c r="EOA3" s="525"/>
      <c r="EOB3" s="525"/>
      <c r="EOC3" s="525"/>
      <c r="EOD3" s="525"/>
      <c r="EOE3" s="525"/>
      <c r="EOF3" s="525"/>
      <c r="EOG3" s="525"/>
      <c r="EOH3" s="525"/>
      <c r="EOI3" s="525"/>
      <c r="EOJ3" s="525"/>
      <c r="EOK3" s="525"/>
      <c r="EOL3" s="525"/>
      <c r="EOM3" s="525"/>
      <c r="EON3" s="525"/>
      <c r="EOO3" s="525"/>
      <c r="EOP3" s="525"/>
      <c r="EOQ3" s="525"/>
      <c r="EOR3" s="525"/>
      <c r="EOS3" s="525"/>
      <c r="EOT3" s="525"/>
      <c r="EOU3" s="525"/>
      <c r="EOV3" s="525"/>
      <c r="EOW3" s="525"/>
      <c r="EOX3" s="525"/>
      <c r="EOY3" s="525"/>
      <c r="EOZ3" s="525"/>
      <c r="EPA3" s="525"/>
      <c r="EPB3" s="525"/>
      <c r="EPC3" s="525"/>
      <c r="EPD3" s="525"/>
      <c r="EPE3" s="525"/>
      <c r="EPF3" s="525"/>
      <c r="EPG3" s="525"/>
      <c r="EPH3" s="525"/>
      <c r="EPI3" s="525"/>
      <c r="EPJ3" s="525"/>
      <c r="EPK3" s="525"/>
      <c r="EPL3" s="525"/>
      <c r="EPM3" s="525"/>
      <c r="EPN3" s="525"/>
      <c r="EPO3" s="525"/>
      <c r="EPP3" s="525"/>
      <c r="EPQ3" s="525"/>
      <c r="EPR3" s="525"/>
      <c r="EPS3" s="525"/>
      <c r="EPT3" s="525"/>
      <c r="EPU3" s="525"/>
      <c r="EPV3" s="525"/>
      <c r="EPW3" s="525"/>
      <c r="EPX3" s="525"/>
      <c r="EPY3" s="525"/>
      <c r="EPZ3" s="525"/>
      <c r="EQA3" s="525"/>
      <c r="EQB3" s="525"/>
      <c r="EQC3" s="525"/>
      <c r="EQD3" s="525"/>
      <c r="EQE3" s="525"/>
      <c r="EQF3" s="525"/>
      <c r="EQG3" s="525"/>
      <c r="EQH3" s="525"/>
      <c r="EQI3" s="525"/>
      <c r="EQJ3" s="525"/>
      <c r="EQK3" s="525"/>
      <c r="EQL3" s="525"/>
      <c r="EQM3" s="525"/>
      <c r="EQN3" s="525"/>
      <c r="EQO3" s="525"/>
      <c r="EQP3" s="525"/>
      <c r="EQQ3" s="525"/>
      <c r="EQR3" s="525"/>
      <c r="EQS3" s="525"/>
      <c r="EQT3" s="525"/>
      <c r="EQU3" s="525"/>
      <c r="EQV3" s="525"/>
      <c r="EQW3" s="525"/>
      <c r="EQX3" s="525"/>
      <c r="EQY3" s="525"/>
      <c r="EQZ3" s="525"/>
      <c r="ERA3" s="525"/>
      <c r="ERB3" s="525"/>
      <c r="ERC3" s="525"/>
      <c r="ERD3" s="525"/>
      <c r="ERE3" s="525"/>
      <c r="ERF3" s="525"/>
      <c r="ERG3" s="525"/>
      <c r="ERH3" s="525"/>
      <c r="ERI3" s="525"/>
      <c r="ERJ3" s="525"/>
      <c r="ERK3" s="525"/>
      <c r="ERL3" s="525"/>
      <c r="ERM3" s="525"/>
      <c r="ERN3" s="525"/>
      <c r="ERO3" s="525"/>
      <c r="ERP3" s="525"/>
      <c r="ERQ3" s="525"/>
      <c r="ERR3" s="525"/>
      <c r="ERS3" s="525"/>
      <c r="ERT3" s="525"/>
      <c r="ERU3" s="525"/>
      <c r="ERV3" s="525"/>
      <c r="ERW3" s="525"/>
      <c r="ERX3" s="525"/>
      <c r="ERY3" s="525"/>
      <c r="ERZ3" s="525"/>
      <c r="ESA3" s="525"/>
      <c r="ESB3" s="525"/>
      <c r="ESC3" s="525"/>
      <c r="ESD3" s="525"/>
      <c r="ESE3" s="525"/>
      <c r="ESF3" s="525"/>
      <c r="ESG3" s="525"/>
      <c r="ESH3" s="525"/>
      <c r="ESI3" s="525"/>
      <c r="ESJ3" s="525"/>
      <c r="ESK3" s="525"/>
      <c r="ESL3" s="525"/>
      <c r="ESM3" s="525"/>
      <c r="ESN3" s="525"/>
      <c r="ESO3" s="525"/>
      <c r="ESP3" s="525"/>
      <c r="ESQ3" s="525"/>
      <c r="ESR3" s="525"/>
      <c r="ESS3" s="525"/>
      <c r="EST3" s="525"/>
      <c r="ESU3" s="525"/>
      <c r="ESV3" s="525"/>
      <c r="ESW3" s="525"/>
      <c r="ESX3" s="525"/>
      <c r="ESY3" s="525"/>
      <c r="ESZ3" s="525"/>
      <c r="ETA3" s="525"/>
      <c r="ETB3" s="525"/>
      <c r="ETC3" s="525"/>
      <c r="ETD3" s="525"/>
      <c r="ETE3" s="525"/>
      <c r="ETF3" s="525"/>
      <c r="ETG3" s="525"/>
      <c r="ETH3" s="525"/>
      <c r="ETI3" s="525"/>
      <c r="ETJ3" s="525"/>
      <c r="ETK3" s="525"/>
      <c r="ETL3" s="525"/>
      <c r="ETM3" s="525"/>
      <c r="ETN3" s="525"/>
      <c r="ETO3" s="525"/>
      <c r="ETP3" s="525"/>
      <c r="ETQ3" s="525"/>
      <c r="ETR3" s="525"/>
      <c r="ETS3" s="525"/>
      <c r="ETT3" s="525"/>
      <c r="ETU3" s="525"/>
      <c r="ETV3" s="525"/>
      <c r="ETW3" s="525"/>
      <c r="ETX3" s="525"/>
      <c r="ETY3" s="525"/>
      <c r="ETZ3" s="525"/>
      <c r="EUA3" s="525"/>
      <c r="EUB3" s="525"/>
      <c r="EUC3" s="525"/>
      <c r="EUD3" s="525"/>
      <c r="EUE3" s="525"/>
      <c r="EUF3" s="525"/>
      <c r="EUG3" s="525"/>
      <c r="EUH3" s="525"/>
      <c r="EUI3" s="525"/>
      <c r="EUJ3" s="525"/>
      <c r="EUK3" s="525"/>
      <c r="EUL3" s="525"/>
      <c r="EUM3" s="525"/>
      <c r="EUN3" s="525"/>
      <c r="EUO3" s="525"/>
      <c r="EUP3" s="525"/>
      <c r="EUQ3" s="525"/>
      <c r="EUR3" s="525"/>
      <c r="EUS3" s="525"/>
      <c r="EUT3" s="525"/>
      <c r="EUU3" s="525"/>
      <c r="EUV3" s="525"/>
      <c r="EUW3" s="525"/>
      <c r="EUX3" s="525"/>
      <c r="EUY3" s="525"/>
      <c r="EUZ3" s="525"/>
      <c r="EVA3" s="525"/>
      <c r="EVB3" s="525"/>
      <c r="EVC3" s="525"/>
      <c r="EVD3" s="525"/>
      <c r="EVE3" s="525"/>
      <c r="EVF3" s="525"/>
      <c r="EVG3" s="525"/>
      <c r="EVH3" s="525"/>
      <c r="EVI3" s="525"/>
      <c r="EVJ3" s="525"/>
      <c r="EVK3" s="525"/>
      <c r="EVL3" s="525"/>
      <c r="EVM3" s="525"/>
      <c r="EVN3" s="525"/>
      <c r="EVO3" s="525"/>
      <c r="EVP3" s="525"/>
      <c r="EVQ3" s="525"/>
      <c r="EVR3" s="525"/>
      <c r="EVS3" s="525"/>
      <c r="EVT3" s="525"/>
      <c r="EVU3" s="525"/>
      <c r="EVV3" s="525"/>
      <c r="EVW3" s="525"/>
      <c r="EVX3" s="525"/>
      <c r="EVY3" s="525"/>
      <c r="EVZ3" s="525"/>
      <c r="EWA3" s="525"/>
      <c r="EWB3" s="525"/>
      <c r="EWC3" s="525"/>
      <c r="EWD3" s="525"/>
      <c r="EWE3" s="525"/>
      <c r="EWF3" s="525"/>
      <c r="EWG3" s="525"/>
      <c r="EWH3" s="525"/>
      <c r="EWI3" s="525"/>
      <c r="EWJ3" s="525"/>
      <c r="EWK3" s="525"/>
      <c r="EWL3" s="525"/>
      <c r="EWM3" s="525"/>
      <c r="EWN3" s="525"/>
      <c r="EWO3" s="525"/>
      <c r="EWP3" s="525"/>
      <c r="EWQ3" s="525"/>
      <c r="EWR3" s="525"/>
      <c r="EWS3" s="525"/>
      <c r="EWT3" s="525"/>
      <c r="EWU3" s="525"/>
      <c r="EWV3" s="525"/>
      <c r="EWW3" s="525"/>
      <c r="EWX3" s="525"/>
      <c r="EWY3" s="525"/>
      <c r="EWZ3" s="525"/>
      <c r="EXA3" s="525"/>
      <c r="EXB3" s="525"/>
      <c r="EXC3" s="525"/>
      <c r="EXD3" s="525"/>
      <c r="EXE3" s="525"/>
      <c r="EXF3" s="525"/>
      <c r="EXG3" s="525"/>
      <c r="EXH3" s="525"/>
      <c r="EXI3" s="525"/>
      <c r="EXJ3" s="525"/>
      <c r="EXK3" s="525"/>
      <c r="EXL3" s="525"/>
      <c r="EXM3" s="525"/>
      <c r="EXN3" s="525"/>
      <c r="EXO3" s="525"/>
      <c r="EXP3" s="525"/>
      <c r="EXQ3" s="525"/>
      <c r="EXR3" s="525"/>
      <c r="EXS3" s="525"/>
      <c r="EXT3" s="525"/>
      <c r="EXU3" s="525"/>
      <c r="EXV3" s="525"/>
      <c r="EXW3" s="525"/>
      <c r="EXX3" s="525"/>
      <c r="EXY3" s="525"/>
      <c r="EXZ3" s="525"/>
      <c r="EYA3" s="525"/>
      <c r="EYB3" s="525"/>
      <c r="EYC3" s="525"/>
      <c r="EYD3" s="525"/>
      <c r="EYE3" s="525"/>
      <c r="EYF3" s="525"/>
      <c r="EYG3" s="525"/>
      <c r="EYH3" s="525"/>
      <c r="EYI3" s="525"/>
      <c r="EYJ3" s="525"/>
      <c r="EYK3" s="525"/>
      <c r="EYL3" s="525"/>
      <c r="EYM3" s="525"/>
      <c r="EYN3" s="525"/>
      <c r="EYO3" s="525"/>
      <c r="EYP3" s="525"/>
      <c r="EYQ3" s="525"/>
      <c r="EYR3" s="525"/>
      <c r="EYS3" s="525"/>
      <c r="EYT3" s="525"/>
      <c r="EYU3" s="525"/>
      <c r="EYV3" s="525"/>
      <c r="EYW3" s="525"/>
      <c r="EYX3" s="525"/>
      <c r="EYY3" s="525"/>
      <c r="EYZ3" s="525"/>
      <c r="EZA3" s="525"/>
      <c r="EZB3" s="525"/>
      <c r="EZC3" s="525"/>
      <c r="EZD3" s="525"/>
      <c r="EZE3" s="525"/>
      <c r="EZF3" s="525"/>
      <c r="EZG3" s="525"/>
      <c r="EZH3" s="525"/>
      <c r="EZI3" s="525"/>
      <c r="EZJ3" s="525"/>
      <c r="EZK3" s="525"/>
      <c r="EZL3" s="525"/>
      <c r="EZM3" s="525"/>
      <c r="EZN3" s="525"/>
      <c r="EZO3" s="525"/>
      <c r="EZP3" s="525"/>
      <c r="EZQ3" s="525"/>
      <c r="EZR3" s="525"/>
      <c r="EZS3" s="525"/>
      <c r="EZT3" s="525"/>
      <c r="EZU3" s="525"/>
      <c r="EZV3" s="525"/>
      <c r="EZW3" s="525"/>
      <c r="EZX3" s="525"/>
      <c r="EZY3" s="525"/>
      <c r="EZZ3" s="525"/>
      <c r="FAA3" s="525"/>
      <c r="FAB3" s="525"/>
      <c r="FAC3" s="525"/>
      <c r="FAD3" s="525"/>
      <c r="FAE3" s="525"/>
      <c r="FAF3" s="525"/>
      <c r="FAG3" s="525"/>
      <c r="FAH3" s="525"/>
      <c r="FAI3" s="525"/>
      <c r="FAJ3" s="525"/>
      <c r="FAK3" s="525"/>
      <c r="FAL3" s="525"/>
      <c r="FAM3" s="525"/>
      <c r="FAN3" s="525"/>
      <c r="FAO3" s="525"/>
      <c r="FAP3" s="525"/>
      <c r="FAQ3" s="525"/>
      <c r="FAR3" s="525"/>
      <c r="FAS3" s="525"/>
      <c r="FAT3" s="525"/>
      <c r="FAU3" s="525"/>
      <c r="FAV3" s="525"/>
      <c r="FAW3" s="525"/>
      <c r="FAX3" s="525"/>
      <c r="FAY3" s="525"/>
      <c r="FAZ3" s="525"/>
      <c r="FBA3" s="525"/>
      <c r="FBB3" s="525"/>
      <c r="FBC3" s="525"/>
      <c r="FBD3" s="525"/>
      <c r="FBE3" s="525"/>
      <c r="FBF3" s="525"/>
      <c r="FBG3" s="525"/>
      <c r="FBH3" s="525"/>
      <c r="FBI3" s="525"/>
      <c r="FBJ3" s="525"/>
      <c r="FBK3" s="525"/>
      <c r="FBL3" s="525"/>
      <c r="FBM3" s="525"/>
      <c r="FBN3" s="525"/>
      <c r="FBO3" s="525"/>
      <c r="FBP3" s="525"/>
      <c r="FBQ3" s="525"/>
      <c r="FBR3" s="525"/>
      <c r="FBS3" s="525"/>
      <c r="FBT3" s="525"/>
      <c r="FBU3" s="525"/>
      <c r="FBV3" s="525"/>
      <c r="FBW3" s="525"/>
      <c r="FBX3" s="525"/>
      <c r="FBY3" s="525"/>
      <c r="FBZ3" s="525"/>
      <c r="FCA3" s="525"/>
      <c r="FCB3" s="525"/>
      <c r="FCC3" s="525"/>
      <c r="FCD3" s="525"/>
      <c r="FCE3" s="525"/>
      <c r="FCF3" s="525"/>
      <c r="FCG3" s="525"/>
      <c r="FCH3" s="525"/>
      <c r="FCI3" s="525"/>
      <c r="FCJ3" s="525"/>
      <c r="FCK3" s="525"/>
      <c r="FCL3" s="525"/>
      <c r="FCM3" s="525"/>
      <c r="FCN3" s="525"/>
      <c r="FCO3" s="525"/>
      <c r="FCP3" s="525"/>
      <c r="FCQ3" s="525"/>
      <c r="FCR3" s="525"/>
      <c r="FCS3" s="525"/>
      <c r="FCT3" s="525"/>
      <c r="FCU3" s="525"/>
      <c r="FCV3" s="525"/>
      <c r="FCW3" s="525"/>
      <c r="FCX3" s="525"/>
      <c r="FCY3" s="525"/>
      <c r="FCZ3" s="525"/>
      <c r="FDA3" s="525"/>
      <c r="FDB3" s="525"/>
      <c r="FDC3" s="525"/>
      <c r="FDD3" s="525"/>
      <c r="FDE3" s="525"/>
      <c r="FDF3" s="525"/>
      <c r="FDG3" s="525"/>
      <c r="FDH3" s="525"/>
      <c r="FDI3" s="525"/>
      <c r="FDJ3" s="525"/>
      <c r="FDK3" s="525"/>
      <c r="FDL3" s="525"/>
      <c r="FDM3" s="525"/>
      <c r="FDN3" s="525"/>
      <c r="FDO3" s="525"/>
      <c r="FDP3" s="525"/>
      <c r="FDQ3" s="525"/>
      <c r="FDR3" s="525"/>
      <c r="FDS3" s="525"/>
      <c r="FDT3" s="525"/>
      <c r="FDU3" s="525"/>
      <c r="FDV3" s="525"/>
      <c r="FDW3" s="525"/>
      <c r="FDX3" s="525"/>
      <c r="FDY3" s="525"/>
      <c r="FDZ3" s="525"/>
      <c r="FEA3" s="525"/>
      <c r="FEB3" s="525"/>
      <c r="FEC3" s="525"/>
      <c r="FED3" s="525"/>
      <c r="FEE3" s="525"/>
      <c r="FEF3" s="525"/>
      <c r="FEG3" s="525"/>
      <c r="FEH3" s="525"/>
      <c r="FEI3" s="525"/>
      <c r="FEJ3" s="525"/>
      <c r="FEK3" s="525"/>
      <c r="FEL3" s="525"/>
      <c r="FEM3" s="525"/>
      <c r="FEN3" s="525"/>
      <c r="FEO3" s="525"/>
      <c r="FEP3" s="525"/>
      <c r="FEQ3" s="525"/>
      <c r="FER3" s="525"/>
      <c r="FES3" s="525"/>
      <c r="FET3" s="525"/>
      <c r="FEU3" s="525"/>
      <c r="FEV3" s="525"/>
      <c r="FEW3" s="525"/>
      <c r="FEX3" s="525"/>
      <c r="FEY3" s="525"/>
      <c r="FEZ3" s="525"/>
      <c r="FFA3" s="525"/>
      <c r="FFB3" s="525"/>
      <c r="FFC3" s="525"/>
      <c r="FFD3" s="525"/>
      <c r="FFE3" s="525"/>
      <c r="FFF3" s="525"/>
      <c r="FFG3" s="525"/>
      <c r="FFH3" s="525"/>
      <c r="FFI3" s="525"/>
      <c r="FFJ3" s="525"/>
      <c r="FFK3" s="525"/>
      <c r="FFL3" s="525"/>
      <c r="FFM3" s="525"/>
      <c r="FFN3" s="525"/>
      <c r="FFO3" s="525"/>
      <c r="FFP3" s="525"/>
      <c r="FFQ3" s="525"/>
      <c r="FFR3" s="525"/>
      <c r="FFS3" s="525"/>
      <c r="FFT3" s="525"/>
      <c r="FFU3" s="525"/>
      <c r="FFV3" s="525"/>
      <c r="FFW3" s="525"/>
      <c r="FFX3" s="525"/>
      <c r="FFY3" s="525"/>
      <c r="FFZ3" s="525"/>
      <c r="FGA3" s="525"/>
      <c r="FGB3" s="525"/>
      <c r="FGC3" s="525"/>
      <c r="FGD3" s="525"/>
      <c r="FGE3" s="525"/>
      <c r="FGF3" s="525"/>
      <c r="FGG3" s="525"/>
      <c r="FGH3" s="525"/>
      <c r="FGI3" s="525"/>
      <c r="FGJ3" s="525"/>
      <c r="FGK3" s="525"/>
      <c r="FGL3" s="525"/>
      <c r="FGM3" s="525"/>
      <c r="FGN3" s="525"/>
      <c r="FGO3" s="525"/>
      <c r="FGP3" s="525"/>
      <c r="FGQ3" s="525"/>
      <c r="FGR3" s="525"/>
      <c r="FGS3" s="525"/>
      <c r="FGT3" s="525"/>
      <c r="FGU3" s="525"/>
      <c r="FGV3" s="525"/>
      <c r="FGW3" s="525"/>
      <c r="FGX3" s="525"/>
      <c r="FGY3" s="525"/>
      <c r="FGZ3" s="525"/>
      <c r="FHA3" s="525"/>
      <c r="FHB3" s="525"/>
      <c r="FHC3" s="525"/>
      <c r="FHD3" s="525"/>
      <c r="FHE3" s="525"/>
      <c r="FHF3" s="525"/>
      <c r="FHG3" s="525"/>
      <c r="FHH3" s="525"/>
      <c r="FHI3" s="525"/>
      <c r="FHJ3" s="525"/>
      <c r="FHK3" s="525"/>
      <c r="FHL3" s="525"/>
      <c r="FHM3" s="525"/>
      <c r="FHN3" s="525"/>
      <c r="FHO3" s="525"/>
      <c r="FHP3" s="525"/>
      <c r="FHQ3" s="525"/>
      <c r="FHR3" s="525"/>
      <c r="FHS3" s="525"/>
      <c r="FHT3" s="525"/>
      <c r="FHU3" s="525"/>
      <c r="FHV3" s="525"/>
      <c r="FHW3" s="525"/>
      <c r="FHX3" s="525"/>
      <c r="FHY3" s="525"/>
      <c r="FHZ3" s="525"/>
      <c r="FIA3" s="525"/>
      <c r="FIB3" s="525"/>
      <c r="FIC3" s="525"/>
      <c r="FID3" s="525"/>
      <c r="FIE3" s="525"/>
      <c r="FIF3" s="525"/>
      <c r="FIG3" s="525"/>
      <c r="FIH3" s="525"/>
      <c r="FII3" s="525"/>
      <c r="FIJ3" s="525"/>
      <c r="FIK3" s="525"/>
      <c r="FIL3" s="525"/>
      <c r="FIM3" s="525"/>
      <c r="FIN3" s="525"/>
      <c r="FIO3" s="525"/>
      <c r="FIP3" s="525"/>
      <c r="FIQ3" s="525"/>
      <c r="FIR3" s="525"/>
      <c r="FIS3" s="525"/>
      <c r="FIT3" s="525"/>
      <c r="FIU3" s="525"/>
      <c r="FIV3" s="525"/>
      <c r="FIW3" s="525"/>
      <c r="FIX3" s="525"/>
      <c r="FIY3" s="525"/>
      <c r="FIZ3" s="525"/>
      <c r="FJA3" s="525"/>
      <c r="FJB3" s="525"/>
      <c r="FJC3" s="525"/>
      <c r="FJD3" s="525"/>
      <c r="FJE3" s="525"/>
      <c r="FJF3" s="525"/>
      <c r="FJG3" s="525"/>
      <c r="FJH3" s="525"/>
      <c r="FJI3" s="525"/>
      <c r="FJJ3" s="525"/>
      <c r="FJK3" s="525"/>
      <c r="FJL3" s="525"/>
      <c r="FJM3" s="525"/>
      <c r="FJN3" s="525"/>
      <c r="FJO3" s="525"/>
      <c r="FJP3" s="525"/>
      <c r="FJQ3" s="525"/>
      <c r="FJR3" s="525"/>
      <c r="FJS3" s="525"/>
      <c r="FJT3" s="525"/>
      <c r="FJU3" s="525"/>
      <c r="FJV3" s="525"/>
      <c r="FJW3" s="525"/>
      <c r="FJX3" s="525"/>
      <c r="FJY3" s="525"/>
      <c r="FJZ3" s="525"/>
      <c r="FKA3" s="525"/>
      <c r="FKB3" s="525"/>
      <c r="FKC3" s="525"/>
      <c r="FKD3" s="525"/>
      <c r="FKE3" s="525"/>
      <c r="FKF3" s="525"/>
      <c r="FKG3" s="525"/>
      <c r="FKH3" s="525"/>
      <c r="FKI3" s="525"/>
      <c r="FKJ3" s="525"/>
      <c r="FKK3" s="525"/>
      <c r="FKL3" s="525"/>
      <c r="FKM3" s="525"/>
      <c r="FKN3" s="525"/>
      <c r="FKO3" s="525"/>
      <c r="FKP3" s="525"/>
      <c r="FKQ3" s="525"/>
      <c r="FKR3" s="525"/>
      <c r="FKS3" s="525"/>
      <c r="FKT3" s="525"/>
      <c r="FKU3" s="525"/>
      <c r="FKV3" s="525"/>
      <c r="FKW3" s="525"/>
      <c r="FKX3" s="525"/>
      <c r="FKY3" s="525"/>
      <c r="FKZ3" s="525"/>
      <c r="FLA3" s="525"/>
      <c r="FLB3" s="525"/>
      <c r="FLC3" s="525"/>
      <c r="FLD3" s="525"/>
      <c r="FLE3" s="525"/>
      <c r="FLF3" s="525"/>
      <c r="FLG3" s="525"/>
      <c r="FLH3" s="525"/>
      <c r="FLI3" s="525"/>
      <c r="FLJ3" s="525"/>
      <c r="FLK3" s="525"/>
      <c r="FLL3" s="525"/>
      <c r="FLM3" s="525"/>
      <c r="FLN3" s="525"/>
      <c r="FLO3" s="525"/>
      <c r="FLP3" s="525"/>
      <c r="FLQ3" s="525"/>
      <c r="FLR3" s="525"/>
      <c r="FLS3" s="525"/>
      <c r="FLT3" s="525"/>
      <c r="FLU3" s="525"/>
      <c r="FLV3" s="525"/>
      <c r="FLW3" s="525"/>
      <c r="FLX3" s="525"/>
      <c r="FLY3" s="525"/>
      <c r="FLZ3" s="525"/>
      <c r="FMA3" s="525"/>
      <c r="FMB3" s="525"/>
      <c r="FMC3" s="525"/>
      <c r="FMD3" s="525"/>
      <c r="FME3" s="525"/>
      <c r="FMF3" s="525"/>
      <c r="FMG3" s="525"/>
      <c r="FMH3" s="525"/>
      <c r="FMI3" s="525"/>
      <c r="FMJ3" s="525"/>
      <c r="FMK3" s="525"/>
      <c r="FML3" s="525"/>
      <c r="FMM3" s="525"/>
      <c r="FMN3" s="525"/>
      <c r="FMO3" s="525"/>
      <c r="FMP3" s="525"/>
      <c r="FMQ3" s="525"/>
      <c r="FMR3" s="525"/>
      <c r="FMS3" s="525"/>
      <c r="FMT3" s="525"/>
      <c r="FMU3" s="525"/>
      <c r="FMV3" s="525"/>
      <c r="FMW3" s="525"/>
      <c r="FMX3" s="525"/>
      <c r="FMY3" s="525"/>
      <c r="FMZ3" s="525"/>
      <c r="FNA3" s="525"/>
      <c r="FNB3" s="525"/>
      <c r="FNC3" s="525"/>
      <c r="FND3" s="525"/>
      <c r="FNE3" s="525"/>
      <c r="FNF3" s="525"/>
      <c r="FNG3" s="525"/>
      <c r="FNH3" s="525"/>
      <c r="FNI3" s="525"/>
      <c r="FNJ3" s="525"/>
      <c r="FNK3" s="525"/>
      <c r="FNL3" s="525"/>
      <c r="FNM3" s="525"/>
      <c r="FNN3" s="525"/>
      <c r="FNO3" s="525"/>
      <c r="FNP3" s="525"/>
      <c r="FNQ3" s="525"/>
      <c r="FNR3" s="525"/>
      <c r="FNS3" s="525"/>
      <c r="FNT3" s="525"/>
      <c r="FNU3" s="525"/>
      <c r="FNV3" s="525"/>
      <c r="FNW3" s="525"/>
      <c r="FNX3" s="525"/>
      <c r="FNY3" s="525"/>
      <c r="FNZ3" s="525"/>
      <c r="FOA3" s="525"/>
      <c r="FOB3" s="525"/>
      <c r="FOC3" s="525"/>
      <c r="FOD3" s="525"/>
      <c r="FOE3" s="525"/>
      <c r="FOF3" s="525"/>
      <c r="FOG3" s="525"/>
      <c r="FOH3" s="525"/>
      <c r="FOI3" s="525"/>
      <c r="FOJ3" s="525"/>
      <c r="FOK3" s="525"/>
      <c r="FOL3" s="525"/>
      <c r="FOM3" s="525"/>
      <c r="FON3" s="525"/>
      <c r="FOO3" s="525"/>
      <c r="FOP3" s="525"/>
      <c r="FOQ3" s="525"/>
      <c r="FOR3" s="525"/>
      <c r="FOS3" s="525"/>
      <c r="FOT3" s="525"/>
      <c r="FOU3" s="525"/>
      <c r="FOV3" s="525"/>
      <c r="FOW3" s="525"/>
      <c r="FOX3" s="525"/>
      <c r="FOY3" s="525"/>
      <c r="FOZ3" s="525"/>
      <c r="FPA3" s="525"/>
      <c r="FPB3" s="525"/>
      <c r="FPC3" s="525"/>
      <c r="FPD3" s="525"/>
      <c r="FPE3" s="525"/>
      <c r="FPF3" s="525"/>
      <c r="FPG3" s="525"/>
      <c r="FPH3" s="525"/>
      <c r="FPI3" s="525"/>
      <c r="FPJ3" s="525"/>
      <c r="FPK3" s="525"/>
      <c r="FPL3" s="525"/>
      <c r="FPM3" s="525"/>
      <c r="FPN3" s="525"/>
      <c r="FPO3" s="525"/>
      <c r="FPP3" s="525"/>
      <c r="FPQ3" s="525"/>
      <c r="FPR3" s="525"/>
      <c r="FPS3" s="525"/>
      <c r="FPT3" s="525"/>
      <c r="FPU3" s="525"/>
      <c r="FPV3" s="525"/>
      <c r="FPW3" s="525"/>
      <c r="FPX3" s="525"/>
      <c r="FPY3" s="525"/>
      <c r="FPZ3" s="525"/>
      <c r="FQA3" s="525"/>
      <c r="FQB3" s="525"/>
      <c r="FQC3" s="525"/>
      <c r="FQD3" s="525"/>
      <c r="FQE3" s="525"/>
      <c r="FQF3" s="525"/>
      <c r="FQG3" s="525"/>
      <c r="FQH3" s="525"/>
      <c r="FQI3" s="525"/>
      <c r="FQJ3" s="525"/>
      <c r="FQK3" s="525"/>
      <c r="FQL3" s="525"/>
      <c r="FQM3" s="525"/>
      <c r="FQN3" s="525"/>
      <c r="FQO3" s="525"/>
      <c r="FQP3" s="525"/>
      <c r="FQQ3" s="525"/>
      <c r="FQR3" s="525"/>
      <c r="FQS3" s="525"/>
      <c r="FQT3" s="525"/>
      <c r="FQU3" s="525"/>
      <c r="FQV3" s="525"/>
      <c r="FQW3" s="525"/>
      <c r="FQX3" s="525"/>
      <c r="FQY3" s="525"/>
      <c r="FQZ3" s="525"/>
      <c r="FRA3" s="525"/>
      <c r="FRB3" s="525"/>
      <c r="FRC3" s="525"/>
      <c r="FRD3" s="525"/>
      <c r="FRE3" s="525"/>
      <c r="FRF3" s="525"/>
      <c r="FRG3" s="525"/>
      <c r="FRH3" s="525"/>
      <c r="FRI3" s="525"/>
      <c r="FRJ3" s="525"/>
      <c r="FRK3" s="525"/>
      <c r="FRL3" s="525"/>
      <c r="FRM3" s="525"/>
      <c r="FRN3" s="525"/>
      <c r="FRO3" s="525"/>
      <c r="FRP3" s="525"/>
      <c r="FRQ3" s="525"/>
      <c r="FRR3" s="525"/>
      <c r="FRS3" s="525"/>
      <c r="FRT3" s="525"/>
      <c r="FRU3" s="525"/>
      <c r="FRV3" s="525"/>
      <c r="FRW3" s="525"/>
      <c r="FRX3" s="525"/>
      <c r="FRY3" s="525"/>
      <c r="FRZ3" s="525"/>
      <c r="FSA3" s="525"/>
      <c r="FSB3" s="525"/>
      <c r="FSC3" s="525"/>
      <c r="FSD3" s="525"/>
      <c r="FSE3" s="525"/>
      <c r="FSF3" s="525"/>
      <c r="FSG3" s="525"/>
      <c r="FSH3" s="525"/>
      <c r="FSI3" s="525"/>
      <c r="FSJ3" s="525"/>
      <c r="FSK3" s="525"/>
      <c r="FSL3" s="525"/>
      <c r="FSM3" s="525"/>
      <c r="FSN3" s="525"/>
      <c r="FSO3" s="525"/>
      <c r="FSP3" s="525"/>
      <c r="FSQ3" s="525"/>
      <c r="FSR3" s="525"/>
      <c r="FSS3" s="525"/>
      <c r="FST3" s="525"/>
      <c r="FSU3" s="525"/>
      <c r="FSV3" s="525"/>
      <c r="FSW3" s="525"/>
      <c r="FSX3" s="525"/>
      <c r="FSY3" s="525"/>
      <c r="FSZ3" s="525"/>
      <c r="FTA3" s="525"/>
      <c r="FTB3" s="525"/>
      <c r="FTC3" s="525"/>
      <c r="FTD3" s="525"/>
      <c r="FTE3" s="525"/>
      <c r="FTF3" s="525"/>
      <c r="FTG3" s="525"/>
      <c r="FTH3" s="525"/>
      <c r="FTI3" s="525"/>
      <c r="FTJ3" s="525"/>
      <c r="FTK3" s="525"/>
      <c r="FTL3" s="525"/>
      <c r="FTM3" s="525"/>
      <c r="FTN3" s="525"/>
      <c r="FTO3" s="525"/>
      <c r="FTP3" s="525"/>
      <c r="FTQ3" s="525"/>
      <c r="FTR3" s="525"/>
      <c r="FTS3" s="525"/>
      <c r="FTT3" s="525"/>
      <c r="FTU3" s="525"/>
      <c r="FTV3" s="525"/>
      <c r="FTW3" s="525"/>
      <c r="FTX3" s="525"/>
      <c r="FTY3" s="525"/>
      <c r="FTZ3" s="525"/>
      <c r="FUA3" s="525"/>
      <c r="FUB3" s="525"/>
      <c r="FUC3" s="525"/>
      <c r="FUD3" s="525"/>
      <c r="FUE3" s="525"/>
      <c r="FUF3" s="525"/>
      <c r="FUG3" s="525"/>
      <c r="FUH3" s="525"/>
      <c r="FUI3" s="525"/>
      <c r="FUJ3" s="525"/>
      <c r="FUK3" s="525"/>
      <c r="FUL3" s="525"/>
      <c r="FUM3" s="525"/>
      <c r="FUN3" s="525"/>
      <c r="FUO3" s="525"/>
      <c r="FUP3" s="525"/>
      <c r="FUQ3" s="525"/>
      <c r="FUR3" s="525"/>
      <c r="FUS3" s="525"/>
      <c r="FUT3" s="525"/>
      <c r="FUU3" s="525"/>
      <c r="FUV3" s="525"/>
      <c r="FUW3" s="525"/>
      <c r="FUX3" s="525"/>
      <c r="FUY3" s="525"/>
      <c r="FUZ3" s="525"/>
      <c r="FVA3" s="525"/>
      <c r="FVB3" s="525"/>
      <c r="FVC3" s="525"/>
      <c r="FVD3" s="525"/>
      <c r="FVE3" s="525"/>
      <c r="FVF3" s="525"/>
      <c r="FVG3" s="525"/>
      <c r="FVH3" s="525"/>
      <c r="FVI3" s="525"/>
      <c r="FVJ3" s="525"/>
      <c r="FVK3" s="525"/>
      <c r="FVL3" s="525"/>
      <c r="FVM3" s="525"/>
      <c r="FVN3" s="525"/>
      <c r="FVO3" s="525"/>
      <c r="FVP3" s="525"/>
      <c r="FVQ3" s="525"/>
      <c r="FVR3" s="525"/>
      <c r="FVS3" s="525"/>
      <c r="FVT3" s="525"/>
      <c r="FVU3" s="525"/>
      <c r="FVV3" s="525"/>
      <c r="FVW3" s="525"/>
      <c r="FVX3" s="525"/>
      <c r="FVY3" s="525"/>
      <c r="FVZ3" s="525"/>
      <c r="FWA3" s="525"/>
      <c r="FWB3" s="525"/>
      <c r="FWC3" s="525"/>
      <c r="FWD3" s="525"/>
      <c r="FWE3" s="525"/>
      <c r="FWF3" s="525"/>
      <c r="FWG3" s="525"/>
      <c r="FWH3" s="525"/>
      <c r="FWI3" s="525"/>
      <c r="FWJ3" s="525"/>
      <c r="FWK3" s="525"/>
      <c r="FWL3" s="525"/>
      <c r="FWM3" s="525"/>
      <c r="FWN3" s="525"/>
      <c r="FWO3" s="525"/>
      <c r="FWP3" s="525"/>
      <c r="FWQ3" s="525"/>
      <c r="FWR3" s="525"/>
      <c r="FWS3" s="525"/>
      <c r="FWT3" s="525"/>
      <c r="FWU3" s="525"/>
      <c r="FWV3" s="525"/>
      <c r="FWW3" s="525"/>
      <c r="FWX3" s="525"/>
      <c r="FWY3" s="525"/>
      <c r="FWZ3" s="525"/>
      <c r="FXA3" s="525"/>
      <c r="FXB3" s="525"/>
      <c r="FXC3" s="525"/>
      <c r="FXD3" s="525"/>
      <c r="FXE3" s="525"/>
      <c r="FXF3" s="525"/>
      <c r="FXG3" s="525"/>
      <c r="FXH3" s="525"/>
      <c r="FXI3" s="525"/>
      <c r="FXJ3" s="525"/>
      <c r="FXK3" s="525"/>
      <c r="FXL3" s="525"/>
      <c r="FXM3" s="525"/>
      <c r="FXN3" s="525"/>
      <c r="FXO3" s="525"/>
      <c r="FXP3" s="525"/>
      <c r="FXQ3" s="525"/>
      <c r="FXR3" s="525"/>
      <c r="FXS3" s="525"/>
      <c r="FXT3" s="525"/>
      <c r="FXU3" s="525"/>
      <c r="FXV3" s="525"/>
      <c r="FXW3" s="525"/>
      <c r="FXX3" s="525"/>
      <c r="FXY3" s="525"/>
      <c r="FXZ3" s="525"/>
      <c r="FYA3" s="525"/>
      <c r="FYB3" s="525"/>
      <c r="FYC3" s="525"/>
      <c r="FYD3" s="525"/>
      <c r="FYE3" s="525"/>
      <c r="FYF3" s="525"/>
      <c r="FYG3" s="525"/>
      <c r="FYH3" s="525"/>
      <c r="FYI3" s="525"/>
      <c r="FYJ3" s="525"/>
      <c r="FYK3" s="525"/>
      <c r="FYL3" s="525"/>
      <c r="FYM3" s="525"/>
      <c r="FYN3" s="525"/>
      <c r="FYO3" s="525"/>
      <c r="FYP3" s="525"/>
      <c r="FYQ3" s="525"/>
      <c r="FYR3" s="525"/>
      <c r="FYS3" s="525"/>
      <c r="FYT3" s="525"/>
      <c r="FYU3" s="525"/>
      <c r="FYV3" s="525"/>
      <c r="FYW3" s="525"/>
      <c r="FYX3" s="525"/>
      <c r="FYY3" s="525"/>
      <c r="FYZ3" s="525"/>
      <c r="FZA3" s="525"/>
      <c r="FZB3" s="525"/>
      <c r="FZC3" s="525"/>
      <c r="FZD3" s="525"/>
      <c r="FZE3" s="525"/>
      <c r="FZF3" s="525"/>
      <c r="FZG3" s="525"/>
      <c r="FZH3" s="525"/>
      <c r="FZI3" s="525"/>
      <c r="FZJ3" s="525"/>
      <c r="FZK3" s="525"/>
      <c r="FZL3" s="525"/>
      <c r="FZM3" s="525"/>
      <c r="FZN3" s="525"/>
      <c r="FZO3" s="525"/>
      <c r="FZP3" s="525"/>
      <c r="FZQ3" s="525"/>
      <c r="FZR3" s="525"/>
      <c r="FZS3" s="525"/>
      <c r="FZT3" s="525"/>
      <c r="FZU3" s="525"/>
      <c r="FZV3" s="525"/>
      <c r="FZW3" s="525"/>
      <c r="FZX3" s="525"/>
      <c r="FZY3" s="525"/>
      <c r="FZZ3" s="525"/>
      <c r="GAA3" s="525"/>
      <c r="GAB3" s="525"/>
      <c r="GAC3" s="525"/>
      <c r="GAD3" s="525"/>
      <c r="GAE3" s="525"/>
      <c r="GAF3" s="525"/>
      <c r="GAG3" s="525"/>
      <c r="GAH3" s="525"/>
      <c r="GAI3" s="525"/>
      <c r="GAJ3" s="525"/>
      <c r="GAK3" s="525"/>
      <c r="GAL3" s="525"/>
      <c r="GAM3" s="525"/>
      <c r="GAN3" s="525"/>
      <c r="GAO3" s="525"/>
      <c r="GAP3" s="525"/>
      <c r="GAQ3" s="525"/>
      <c r="GAR3" s="525"/>
      <c r="GAS3" s="525"/>
      <c r="GAT3" s="525"/>
      <c r="GAU3" s="525"/>
      <c r="GAV3" s="525"/>
      <c r="GAW3" s="525"/>
      <c r="GAX3" s="525"/>
      <c r="GAY3" s="525"/>
      <c r="GAZ3" s="525"/>
      <c r="GBA3" s="525"/>
      <c r="GBB3" s="525"/>
      <c r="GBC3" s="525"/>
      <c r="GBD3" s="525"/>
      <c r="GBE3" s="525"/>
      <c r="GBF3" s="525"/>
      <c r="GBG3" s="525"/>
      <c r="GBH3" s="525"/>
      <c r="GBI3" s="525"/>
      <c r="GBJ3" s="525"/>
      <c r="GBK3" s="525"/>
      <c r="GBL3" s="525"/>
      <c r="GBM3" s="525"/>
      <c r="GBN3" s="525"/>
      <c r="GBO3" s="525"/>
      <c r="GBP3" s="525"/>
      <c r="GBQ3" s="525"/>
      <c r="GBR3" s="525"/>
      <c r="GBS3" s="525"/>
      <c r="GBT3" s="525"/>
      <c r="GBU3" s="525"/>
      <c r="GBV3" s="525"/>
      <c r="GBW3" s="525"/>
      <c r="GBX3" s="525"/>
      <c r="GBY3" s="525"/>
      <c r="GBZ3" s="525"/>
      <c r="GCA3" s="525"/>
      <c r="GCB3" s="525"/>
      <c r="GCC3" s="525"/>
      <c r="GCD3" s="525"/>
      <c r="GCE3" s="525"/>
      <c r="GCF3" s="525"/>
      <c r="GCG3" s="525"/>
      <c r="GCH3" s="525"/>
      <c r="GCI3" s="525"/>
      <c r="GCJ3" s="525"/>
      <c r="GCK3" s="525"/>
      <c r="GCL3" s="525"/>
      <c r="GCM3" s="525"/>
      <c r="GCN3" s="525"/>
      <c r="GCO3" s="525"/>
      <c r="GCP3" s="525"/>
      <c r="GCQ3" s="525"/>
      <c r="GCR3" s="525"/>
      <c r="GCS3" s="525"/>
      <c r="GCT3" s="525"/>
      <c r="GCU3" s="525"/>
      <c r="GCV3" s="525"/>
      <c r="GCW3" s="525"/>
      <c r="GCX3" s="525"/>
      <c r="GCY3" s="525"/>
      <c r="GCZ3" s="525"/>
      <c r="GDA3" s="525"/>
      <c r="GDB3" s="525"/>
      <c r="GDC3" s="525"/>
      <c r="GDD3" s="525"/>
      <c r="GDE3" s="525"/>
      <c r="GDF3" s="525"/>
      <c r="GDG3" s="525"/>
      <c r="GDH3" s="525"/>
      <c r="GDI3" s="525"/>
      <c r="GDJ3" s="525"/>
      <c r="GDK3" s="525"/>
      <c r="GDL3" s="525"/>
      <c r="GDM3" s="525"/>
      <c r="GDN3" s="525"/>
      <c r="GDO3" s="525"/>
      <c r="GDP3" s="525"/>
      <c r="GDQ3" s="525"/>
      <c r="GDR3" s="525"/>
      <c r="GDS3" s="525"/>
      <c r="GDT3" s="525"/>
      <c r="GDU3" s="525"/>
      <c r="GDV3" s="525"/>
      <c r="GDW3" s="525"/>
      <c r="GDX3" s="525"/>
      <c r="GDY3" s="525"/>
      <c r="GDZ3" s="525"/>
      <c r="GEA3" s="525"/>
      <c r="GEB3" s="525"/>
      <c r="GEC3" s="525"/>
      <c r="GED3" s="525"/>
      <c r="GEE3" s="525"/>
      <c r="GEF3" s="525"/>
      <c r="GEG3" s="525"/>
      <c r="GEH3" s="525"/>
      <c r="GEI3" s="525"/>
      <c r="GEJ3" s="525"/>
      <c r="GEK3" s="525"/>
      <c r="GEL3" s="525"/>
      <c r="GEM3" s="525"/>
      <c r="GEN3" s="525"/>
      <c r="GEO3" s="525"/>
      <c r="GEP3" s="525"/>
      <c r="GEQ3" s="525"/>
      <c r="GER3" s="525"/>
      <c r="GES3" s="525"/>
      <c r="GET3" s="525"/>
      <c r="GEU3" s="525"/>
      <c r="GEV3" s="525"/>
      <c r="GEW3" s="525"/>
      <c r="GEX3" s="525"/>
      <c r="GEY3" s="525"/>
      <c r="GEZ3" s="525"/>
      <c r="GFA3" s="525"/>
      <c r="GFB3" s="525"/>
      <c r="GFC3" s="525"/>
      <c r="GFD3" s="525"/>
      <c r="GFE3" s="525"/>
      <c r="GFF3" s="525"/>
      <c r="GFG3" s="525"/>
      <c r="GFH3" s="525"/>
      <c r="GFI3" s="525"/>
      <c r="GFJ3" s="525"/>
      <c r="GFK3" s="525"/>
      <c r="GFL3" s="525"/>
      <c r="GFM3" s="525"/>
      <c r="GFN3" s="525"/>
      <c r="GFO3" s="525"/>
      <c r="GFP3" s="525"/>
      <c r="GFQ3" s="525"/>
      <c r="GFR3" s="525"/>
      <c r="GFS3" s="525"/>
      <c r="GFT3" s="525"/>
      <c r="GFU3" s="525"/>
      <c r="GFV3" s="525"/>
      <c r="GFW3" s="525"/>
      <c r="GFX3" s="525"/>
      <c r="GFY3" s="525"/>
      <c r="GFZ3" s="525"/>
      <c r="GGA3" s="525"/>
      <c r="GGB3" s="525"/>
      <c r="GGC3" s="525"/>
      <c r="GGD3" s="525"/>
      <c r="GGE3" s="525"/>
      <c r="GGF3" s="525"/>
      <c r="GGG3" s="525"/>
      <c r="GGH3" s="525"/>
      <c r="GGI3" s="525"/>
      <c r="GGJ3" s="525"/>
      <c r="GGK3" s="525"/>
      <c r="GGL3" s="525"/>
      <c r="GGM3" s="525"/>
      <c r="GGN3" s="525"/>
      <c r="GGO3" s="525"/>
      <c r="GGP3" s="525"/>
      <c r="GGQ3" s="525"/>
      <c r="GGR3" s="525"/>
      <c r="GGS3" s="525"/>
      <c r="GGT3" s="525"/>
      <c r="GGU3" s="525"/>
      <c r="GGV3" s="525"/>
      <c r="GGW3" s="525"/>
      <c r="GGX3" s="525"/>
      <c r="GGY3" s="525"/>
      <c r="GGZ3" s="525"/>
      <c r="GHA3" s="525"/>
      <c r="GHB3" s="525"/>
      <c r="GHC3" s="525"/>
      <c r="GHD3" s="525"/>
      <c r="GHE3" s="525"/>
      <c r="GHF3" s="525"/>
      <c r="GHG3" s="525"/>
      <c r="GHH3" s="525"/>
      <c r="GHI3" s="525"/>
      <c r="GHJ3" s="525"/>
      <c r="GHK3" s="525"/>
      <c r="GHL3" s="525"/>
      <c r="GHM3" s="525"/>
      <c r="GHN3" s="525"/>
      <c r="GHO3" s="525"/>
      <c r="GHP3" s="525"/>
      <c r="GHQ3" s="525"/>
      <c r="GHR3" s="525"/>
      <c r="GHS3" s="525"/>
      <c r="GHT3" s="525"/>
      <c r="GHU3" s="525"/>
      <c r="GHV3" s="525"/>
      <c r="GHW3" s="525"/>
      <c r="GHX3" s="525"/>
      <c r="GHY3" s="525"/>
      <c r="GHZ3" s="525"/>
      <c r="GIA3" s="525"/>
      <c r="GIB3" s="525"/>
      <c r="GIC3" s="525"/>
      <c r="GID3" s="525"/>
      <c r="GIE3" s="525"/>
      <c r="GIF3" s="525"/>
      <c r="GIG3" s="525"/>
      <c r="GIH3" s="525"/>
      <c r="GII3" s="525"/>
      <c r="GIJ3" s="525"/>
      <c r="GIK3" s="525"/>
      <c r="GIL3" s="525"/>
      <c r="GIM3" s="525"/>
      <c r="GIN3" s="525"/>
      <c r="GIO3" s="525"/>
      <c r="GIP3" s="525"/>
      <c r="GIQ3" s="525"/>
      <c r="GIR3" s="525"/>
      <c r="GIS3" s="525"/>
      <c r="GIT3" s="525"/>
      <c r="GIU3" s="525"/>
      <c r="GIV3" s="525"/>
      <c r="GIW3" s="525"/>
      <c r="GIX3" s="525"/>
      <c r="GIY3" s="525"/>
      <c r="GIZ3" s="525"/>
      <c r="GJA3" s="525"/>
      <c r="GJB3" s="525"/>
      <c r="GJC3" s="525"/>
      <c r="GJD3" s="525"/>
      <c r="GJE3" s="525"/>
      <c r="GJF3" s="525"/>
      <c r="GJG3" s="525"/>
      <c r="GJH3" s="525"/>
      <c r="GJI3" s="525"/>
      <c r="GJJ3" s="525"/>
      <c r="GJK3" s="525"/>
      <c r="GJL3" s="525"/>
      <c r="GJM3" s="525"/>
      <c r="GJN3" s="525"/>
      <c r="GJO3" s="525"/>
      <c r="GJP3" s="525"/>
      <c r="GJQ3" s="525"/>
      <c r="GJR3" s="525"/>
      <c r="GJS3" s="525"/>
      <c r="GJT3" s="525"/>
      <c r="GJU3" s="525"/>
      <c r="GJV3" s="525"/>
      <c r="GJW3" s="525"/>
      <c r="GJX3" s="525"/>
      <c r="GJY3" s="525"/>
      <c r="GJZ3" s="525"/>
      <c r="GKA3" s="525"/>
      <c r="GKB3" s="525"/>
      <c r="GKC3" s="525"/>
      <c r="GKD3" s="525"/>
      <c r="GKE3" s="525"/>
      <c r="GKF3" s="525"/>
      <c r="GKG3" s="525"/>
      <c r="GKH3" s="525"/>
      <c r="GKI3" s="525"/>
      <c r="GKJ3" s="525"/>
      <c r="GKK3" s="525"/>
      <c r="GKL3" s="525"/>
      <c r="GKM3" s="525"/>
      <c r="GKN3" s="525"/>
      <c r="GKO3" s="525"/>
      <c r="GKP3" s="525"/>
      <c r="GKQ3" s="525"/>
      <c r="GKR3" s="525"/>
      <c r="GKS3" s="525"/>
      <c r="GKT3" s="525"/>
      <c r="GKU3" s="525"/>
      <c r="GKV3" s="525"/>
      <c r="GKW3" s="525"/>
      <c r="GKX3" s="525"/>
      <c r="GKY3" s="525"/>
      <c r="GKZ3" s="525"/>
      <c r="GLA3" s="525"/>
      <c r="GLB3" s="525"/>
      <c r="GLC3" s="525"/>
      <c r="GLD3" s="525"/>
      <c r="GLE3" s="525"/>
      <c r="GLF3" s="525"/>
      <c r="GLG3" s="525"/>
      <c r="GLH3" s="525"/>
      <c r="GLI3" s="525"/>
      <c r="GLJ3" s="525"/>
      <c r="GLK3" s="525"/>
      <c r="GLL3" s="525"/>
      <c r="GLM3" s="525"/>
      <c r="GLN3" s="525"/>
      <c r="GLO3" s="525"/>
      <c r="GLP3" s="525"/>
      <c r="GLQ3" s="525"/>
      <c r="GLR3" s="525"/>
      <c r="GLS3" s="525"/>
      <c r="GLT3" s="525"/>
      <c r="GLU3" s="525"/>
      <c r="GLV3" s="525"/>
      <c r="GLW3" s="525"/>
      <c r="GLX3" s="525"/>
      <c r="GLY3" s="525"/>
      <c r="GLZ3" s="525"/>
      <c r="GMA3" s="525"/>
      <c r="GMB3" s="525"/>
      <c r="GMC3" s="525"/>
      <c r="GMD3" s="525"/>
      <c r="GME3" s="525"/>
      <c r="GMF3" s="525"/>
      <c r="GMG3" s="525"/>
      <c r="GMH3" s="525"/>
      <c r="GMI3" s="525"/>
      <c r="GMJ3" s="525"/>
      <c r="GMK3" s="525"/>
      <c r="GML3" s="525"/>
      <c r="GMM3" s="525"/>
      <c r="GMN3" s="525"/>
      <c r="GMO3" s="525"/>
      <c r="GMP3" s="525"/>
      <c r="GMQ3" s="525"/>
      <c r="GMR3" s="525"/>
      <c r="GMS3" s="525"/>
      <c r="GMT3" s="525"/>
      <c r="GMU3" s="525"/>
      <c r="GMV3" s="525"/>
      <c r="GMW3" s="525"/>
      <c r="GMX3" s="525"/>
      <c r="GMY3" s="525"/>
      <c r="GMZ3" s="525"/>
      <c r="GNA3" s="525"/>
      <c r="GNB3" s="525"/>
      <c r="GNC3" s="525"/>
      <c r="GND3" s="525"/>
      <c r="GNE3" s="525"/>
      <c r="GNF3" s="525"/>
      <c r="GNG3" s="525"/>
      <c r="GNH3" s="525"/>
      <c r="GNI3" s="525"/>
      <c r="GNJ3" s="525"/>
      <c r="GNK3" s="525"/>
      <c r="GNL3" s="525"/>
      <c r="GNM3" s="525"/>
      <c r="GNN3" s="525"/>
      <c r="GNO3" s="525"/>
      <c r="GNP3" s="525"/>
      <c r="GNQ3" s="525"/>
      <c r="GNR3" s="525"/>
      <c r="GNS3" s="525"/>
      <c r="GNT3" s="525"/>
      <c r="GNU3" s="525"/>
      <c r="GNV3" s="525"/>
      <c r="GNW3" s="525"/>
      <c r="GNX3" s="525"/>
      <c r="GNY3" s="525"/>
      <c r="GNZ3" s="525"/>
      <c r="GOA3" s="525"/>
      <c r="GOB3" s="525"/>
      <c r="GOC3" s="525"/>
      <c r="GOD3" s="525"/>
      <c r="GOE3" s="525"/>
      <c r="GOF3" s="525"/>
      <c r="GOG3" s="525"/>
      <c r="GOH3" s="525"/>
      <c r="GOI3" s="525"/>
      <c r="GOJ3" s="525"/>
      <c r="GOK3" s="525"/>
      <c r="GOL3" s="525"/>
      <c r="GOM3" s="525"/>
      <c r="GON3" s="525"/>
      <c r="GOO3" s="525"/>
      <c r="GOP3" s="525"/>
      <c r="GOQ3" s="525"/>
      <c r="GOR3" s="525"/>
      <c r="GOS3" s="525"/>
      <c r="GOT3" s="525"/>
      <c r="GOU3" s="525"/>
      <c r="GOV3" s="525"/>
      <c r="GOW3" s="525"/>
      <c r="GOX3" s="525"/>
      <c r="GOY3" s="525"/>
      <c r="GOZ3" s="525"/>
      <c r="GPA3" s="525"/>
      <c r="GPB3" s="525"/>
      <c r="GPC3" s="525"/>
      <c r="GPD3" s="525"/>
      <c r="GPE3" s="525"/>
      <c r="GPF3" s="525"/>
      <c r="GPG3" s="525"/>
      <c r="GPH3" s="525"/>
      <c r="GPI3" s="525"/>
      <c r="GPJ3" s="525"/>
      <c r="GPK3" s="525"/>
      <c r="GPL3" s="525"/>
      <c r="GPM3" s="525"/>
      <c r="GPN3" s="525"/>
      <c r="GPO3" s="525"/>
      <c r="GPP3" s="525"/>
      <c r="GPQ3" s="525"/>
      <c r="GPR3" s="525"/>
      <c r="GPS3" s="525"/>
      <c r="GPT3" s="525"/>
      <c r="GPU3" s="525"/>
      <c r="GPV3" s="525"/>
      <c r="GPW3" s="525"/>
      <c r="GPX3" s="525"/>
      <c r="GPY3" s="525"/>
      <c r="GPZ3" s="525"/>
      <c r="GQA3" s="525"/>
      <c r="GQB3" s="525"/>
      <c r="GQC3" s="525"/>
      <c r="GQD3" s="525"/>
      <c r="GQE3" s="525"/>
      <c r="GQF3" s="525"/>
      <c r="GQG3" s="525"/>
      <c r="GQH3" s="525"/>
      <c r="GQI3" s="525"/>
      <c r="GQJ3" s="525"/>
      <c r="GQK3" s="525"/>
      <c r="GQL3" s="525"/>
      <c r="GQM3" s="525"/>
      <c r="GQN3" s="525"/>
      <c r="GQO3" s="525"/>
      <c r="GQP3" s="525"/>
      <c r="GQQ3" s="525"/>
      <c r="GQR3" s="525"/>
      <c r="GQS3" s="525"/>
      <c r="GQT3" s="525"/>
      <c r="GQU3" s="525"/>
      <c r="GQV3" s="525"/>
      <c r="GQW3" s="525"/>
      <c r="GQX3" s="525"/>
      <c r="GQY3" s="525"/>
      <c r="GQZ3" s="525"/>
      <c r="GRA3" s="525"/>
      <c r="GRB3" s="525"/>
      <c r="GRC3" s="525"/>
      <c r="GRD3" s="525"/>
      <c r="GRE3" s="525"/>
      <c r="GRF3" s="525"/>
      <c r="GRG3" s="525"/>
      <c r="GRH3" s="525"/>
      <c r="GRI3" s="525"/>
      <c r="GRJ3" s="525"/>
      <c r="GRK3" s="525"/>
      <c r="GRL3" s="525"/>
      <c r="GRM3" s="525"/>
      <c r="GRN3" s="525"/>
      <c r="GRO3" s="525"/>
      <c r="GRP3" s="525"/>
      <c r="GRQ3" s="525"/>
      <c r="GRR3" s="525"/>
      <c r="GRS3" s="525"/>
      <c r="GRT3" s="525"/>
      <c r="GRU3" s="525"/>
      <c r="GRV3" s="525"/>
      <c r="GRW3" s="525"/>
      <c r="GRX3" s="525"/>
      <c r="GRY3" s="525"/>
      <c r="GRZ3" s="525"/>
      <c r="GSA3" s="525"/>
      <c r="GSB3" s="525"/>
      <c r="GSC3" s="525"/>
      <c r="GSD3" s="525"/>
      <c r="GSE3" s="525"/>
      <c r="GSF3" s="525"/>
      <c r="GSG3" s="525"/>
      <c r="GSH3" s="525"/>
      <c r="GSI3" s="525"/>
      <c r="GSJ3" s="525"/>
      <c r="GSK3" s="525"/>
      <c r="GSL3" s="525"/>
      <c r="GSM3" s="525"/>
      <c r="GSN3" s="525"/>
      <c r="GSO3" s="525"/>
      <c r="GSP3" s="525"/>
      <c r="GSQ3" s="525"/>
      <c r="GSR3" s="525"/>
      <c r="GSS3" s="525"/>
      <c r="GST3" s="525"/>
      <c r="GSU3" s="525"/>
      <c r="GSV3" s="525"/>
      <c r="GSW3" s="525"/>
      <c r="GSX3" s="525"/>
      <c r="GSY3" s="525"/>
      <c r="GSZ3" s="525"/>
      <c r="GTA3" s="525"/>
      <c r="GTB3" s="525"/>
      <c r="GTC3" s="525"/>
      <c r="GTD3" s="525"/>
      <c r="GTE3" s="525"/>
      <c r="GTF3" s="525"/>
      <c r="GTG3" s="525"/>
      <c r="GTH3" s="525"/>
      <c r="GTI3" s="525"/>
      <c r="GTJ3" s="525"/>
      <c r="GTK3" s="525"/>
      <c r="GTL3" s="525"/>
      <c r="GTM3" s="525"/>
      <c r="GTN3" s="525"/>
      <c r="GTO3" s="525"/>
      <c r="GTP3" s="525"/>
      <c r="GTQ3" s="525"/>
      <c r="GTR3" s="525"/>
      <c r="GTS3" s="525"/>
      <c r="GTT3" s="525"/>
      <c r="GTU3" s="525"/>
      <c r="GTV3" s="525"/>
      <c r="GTW3" s="525"/>
      <c r="GTX3" s="525"/>
      <c r="GTY3" s="525"/>
      <c r="GTZ3" s="525"/>
      <c r="GUA3" s="525"/>
      <c r="GUB3" s="525"/>
      <c r="GUC3" s="525"/>
      <c r="GUD3" s="525"/>
      <c r="GUE3" s="525"/>
      <c r="GUF3" s="525"/>
      <c r="GUG3" s="525"/>
      <c r="GUH3" s="525"/>
      <c r="GUI3" s="525"/>
      <c r="GUJ3" s="525"/>
      <c r="GUK3" s="525"/>
      <c r="GUL3" s="525"/>
      <c r="GUM3" s="525"/>
      <c r="GUN3" s="525"/>
      <c r="GUO3" s="525"/>
      <c r="GUP3" s="525"/>
      <c r="GUQ3" s="525"/>
      <c r="GUR3" s="525"/>
      <c r="GUS3" s="525"/>
      <c r="GUT3" s="525"/>
      <c r="GUU3" s="525"/>
      <c r="GUV3" s="525"/>
      <c r="GUW3" s="525"/>
      <c r="GUX3" s="525"/>
      <c r="GUY3" s="525"/>
      <c r="GUZ3" s="525"/>
      <c r="GVA3" s="525"/>
      <c r="GVB3" s="525"/>
      <c r="GVC3" s="525"/>
      <c r="GVD3" s="525"/>
      <c r="GVE3" s="525"/>
      <c r="GVF3" s="525"/>
      <c r="GVG3" s="525"/>
      <c r="GVH3" s="525"/>
      <c r="GVI3" s="525"/>
      <c r="GVJ3" s="525"/>
      <c r="GVK3" s="525"/>
      <c r="GVL3" s="525"/>
      <c r="GVM3" s="525"/>
      <c r="GVN3" s="525"/>
      <c r="GVO3" s="525"/>
      <c r="GVP3" s="525"/>
      <c r="GVQ3" s="525"/>
      <c r="GVR3" s="525"/>
      <c r="GVS3" s="525"/>
      <c r="GVT3" s="525"/>
      <c r="GVU3" s="525"/>
      <c r="GVV3" s="525"/>
      <c r="GVW3" s="525"/>
      <c r="GVX3" s="525"/>
      <c r="GVY3" s="525"/>
      <c r="GVZ3" s="525"/>
      <c r="GWA3" s="525"/>
      <c r="GWB3" s="525"/>
      <c r="GWC3" s="525"/>
      <c r="GWD3" s="525"/>
      <c r="GWE3" s="525"/>
      <c r="GWF3" s="525"/>
      <c r="GWG3" s="525"/>
      <c r="GWH3" s="525"/>
      <c r="GWI3" s="525"/>
      <c r="GWJ3" s="525"/>
      <c r="GWK3" s="525"/>
      <c r="GWL3" s="525"/>
      <c r="GWM3" s="525"/>
      <c r="GWN3" s="525"/>
      <c r="GWO3" s="525"/>
      <c r="GWP3" s="525"/>
      <c r="GWQ3" s="525"/>
      <c r="GWR3" s="525"/>
      <c r="GWS3" s="525"/>
      <c r="GWT3" s="525"/>
      <c r="GWU3" s="525"/>
      <c r="GWV3" s="525"/>
      <c r="GWW3" s="525"/>
      <c r="GWX3" s="525"/>
      <c r="GWY3" s="525"/>
      <c r="GWZ3" s="525"/>
      <c r="GXA3" s="525"/>
      <c r="GXB3" s="525"/>
      <c r="GXC3" s="525"/>
      <c r="GXD3" s="525"/>
      <c r="GXE3" s="525"/>
      <c r="GXF3" s="525"/>
      <c r="GXG3" s="525"/>
      <c r="GXH3" s="525"/>
      <c r="GXI3" s="525"/>
      <c r="GXJ3" s="525"/>
      <c r="GXK3" s="525"/>
      <c r="GXL3" s="525"/>
      <c r="GXM3" s="525"/>
      <c r="GXN3" s="525"/>
      <c r="GXO3" s="525"/>
      <c r="GXP3" s="525"/>
      <c r="GXQ3" s="525"/>
      <c r="GXR3" s="525"/>
      <c r="GXS3" s="525"/>
      <c r="GXT3" s="525"/>
      <c r="GXU3" s="525"/>
      <c r="GXV3" s="525"/>
      <c r="GXW3" s="525"/>
      <c r="GXX3" s="525"/>
      <c r="GXY3" s="525"/>
      <c r="GXZ3" s="525"/>
      <c r="GYA3" s="525"/>
      <c r="GYB3" s="525"/>
      <c r="GYC3" s="525"/>
      <c r="GYD3" s="525"/>
      <c r="GYE3" s="525"/>
      <c r="GYF3" s="525"/>
      <c r="GYG3" s="525"/>
      <c r="GYH3" s="525"/>
      <c r="GYI3" s="525"/>
      <c r="GYJ3" s="525"/>
      <c r="GYK3" s="525"/>
      <c r="GYL3" s="525"/>
      <c r="GYM3" s="525"/>
      <c r="GYN3" s="525"/>
      <c r="GYO3" s="525"/>
      <c r="GYP3" s="525"/>
      <c r="GYQ3" s="525"/>
      <c r="GYR3" s="525"/>
      <c r="GYS3" s="525"/>
      <c r="GYT3" s="525"/>
      <c r="GYU3" s="525"/>
      <c r="GYV3" s="525"/>
      <c r="GYW3" s="525"/>
      <c r="GYX3" s="525"/>
      <c r="GYY3" s="525"/>
      <c r="GYZ3" s="525"/>
      <c r="GZA3" s="525"/>
      <c r="GZB3" s="525"/>
      <c r="GZC3" s="525"/>
      <c r="GZD3" s="525"/>
      <c r="GZE3" s="525"/>
      <c r="GZF3" s="525"/>
      <c r="GZG3" s="525"/>
      <c r="GZH3" s="525"/>
      <c r="GZI3" s="525"/>
      <c r="GZJ3" s="525"/>
      <c r="GZK3" s="525"/>
      <c r="GZL3" s="525"/>
      <c r="GZM3" s="525"/>
      <c r="GZN3" s="525"/>
      <c r="GZO3" s="525"/>
      <c r="GZP3" s="525"/>
      <c r="GZQ3" s="525"/>
      <c r="GZR3" s="525"/>
      <c r="GZS3" s="525"/>
      <c r="GZT3" s="525"/>
      <c r="GZU3" s="525"/>
      <c r="GZV3" s="525"/>
      <c r="GZW3" s="525"/>
      <c r="GZX3" s="525"/>
      <c r="GZY3" s="525"/>
      <c r="GZZ3" s="525"/>
      <c r="HAA3" s="525"/>
      <c r="HAB3" s="525"/>
      <c r="HAC3" s="525"/>
      <c r="HAD3" s="525"/>
      <c r="HAE3" s="525"/>
      <c r="HAF3" s="525"/>
      <c r="HAG3" s="525"/>
      <c r="HAH3" s="525"/>
      <c r="HAI3" s="525"/>
      <c r="HAJ3" s="525"/>
      <c r="HAK3" s="525"/>
      <c r="HAL3" s="525"/>
      <c r="HAM3" s="525"/>
      <c r="HAN3" s="525"/>
      <c r="HAO3" s="525"/>
      <c r="HAP3" s="525"/>
      <c r="HAQ3" s="525"/>
      <c r="HAR3" s="525"/>
      <c r="HAS3" s="525"/>
      <c r="HAT3" s="525"/>
      <c r="HAU3" s="525"/>
      <c r="HAV3" s="525"/>
      <c r="HAW3" s="525"/>
      <c r="HAX3" s="525"/>
      <c r="HAY3" s="525"/>
      <c r="HAZ3" s="525"/>
      <c r="HBA3" s="525"/>
      <c r="HBB3" s="525"/>
      <c r="HBC3" s="525"/>
      <c r="HBD3" s="525"/>
      <c r="HBE3" s="525"/>
      <c r="HBF3" s="525"/>
      <c r="HBG3" s="525"/>
      <c r="HBH3" s="525"/>
      <c r="HBI3" s="525"/>
      <c r="HBJ3" s="525"/>
      <c r="HBK3" s="525"/>
      <c r="HBL3" s="525"/>
      <c r="HBM3" s="525"/>
      <c r="HBN3" s="525"/>
      <c r="HBO3" s="525"/>
      <c r="HBP3" s="525"/>
      <c r="HBQ3" s="525"/>
      <c r="HBR3" s="525"/>
      <c r="HBS3" s="525"/>
      <c r="HBT3" s="525"/>
      <c r="HBU3" s="525"/>
      <c r="HBV3" s="525"/>
      <c r="HBW3" s="525"/>
      <c r="HBX3" s="525"/>
      <c r="HBY3" s="525"/>
      <c r="HBZ3" s="525"/>
      <c r="HCA3" s="525"/>
      <c r="HCB3" s="525"/>
      <c r="HCC3" s="525"/>
      <c r="HCD3" s="525"/>
      <c r="HCE3" s="525"/>
      <c r="HCF3" s="525"/>
      <c r="HCG3" s="525"/>
      <c r="HCH3" s="525"/>
      <c r="HCI3" s="525"/>
      <c r="HCJ3" s="525"/>
      <c r="HCK3" s="525"/>
      <c r="HCL3" s="525"/>
      <c r="HCM3" s="525"/>
      <c r="HCN3" s="525"/>
      <c r="HCO3" s="525"/>
      <c r="HCP3" s="525"/>
      <c r="HCQ3" s="525"/>
      <c r="HCR3" s="525"/>
      <c r="HCS3" s="525"/>
      <c r="HCT3" s="525"/>
      <c r="HCU3" s="525"/>
      <c r="HCV3" s="525"/>
      <c r="HCW3" s="525"/>
      <c r="HCX3" s="525"/>
      <c r="HCY3" s="525"/>
      <c r="HCZ3" s="525"/>
      <c r="HDA3" s="525"/>
      <c r="HDB3" s="525"/>
      <c r="HDC3" s="525"/>
      <c r="HDD3" s="525"/>
      <c r="HDE3" s="525"/>
      <c r="HDF3" s="525"/>
      <c r="HDG3" s="525"/>
      <c r="HDH3" s="525"/>
      <c r="HDI3" s="525"/>
      <c r="HDJ3" s="525"/>
      <c r="HDK3" s="525"/>
      <c r="HDL3" s="525"/>
      <c r="HDM3" s="525"/>
      <c r="HDN3" s="525"/>
      <c r="HDO3" s="525"/>
      <c r="HDP3" s="525"/>
      <c r="HDQ3" s="525"/>
      <c r="HDR3" s="525"/>
      <c r="HDS3" s="525"/>
      <c r="HDT3" s="525"/>
      <c r="HDU3" s="525"/>
      <c r="HDV3" s="525"/>
      <c r="HDW3" s="525"/>
      <c r="HDX3" s="525"/>
      <c r="HDY3" s="525"/>
      <c r="HDZ3" s="525"/>
      <c r="HEA3" s="525"/>
      <c r="HEB3" s="525"/>
      <c r="HEC3" s="525"/>
      <c r="HED3" s="525"/>
      <c r="HEE3" s="525"/>
      <c r="HEF3" s="525"/>
      <c r="HEG3" s="525"/>
      <c r="HEH3" s="525"/>
      <c r="HEI3" s="525"/>
      <c r="HEJ3" s="525"/>
      <c r="HEK3" s="525"/>
      <c r="HEL3" s="525"/>
      <c r="HEM3" s="525"/>
      <c r="HEN3" s="525"/>
      <c r="HEO3" s="525"/>
      <c r="HEP3" s="525"/>
      <c r="HEQ3" s="525"/>
      <c r="HER3" s="525"/>
      <c r="HES3" s="525"/>
      <c r="HET3" s="525"/>
      <c r="HEU3" s="525"/>
      <c r="HEV3" s="525"/>
      <c r="HEW3" s="525"/>
      <c r="HEX3" s="525"/>
      <c r="HEY3" s="525"/>
      <c r="HEZ3" s="525"/>
      <c r="HFA3" s="525"/>
      <c r="HFB3" s="525"/>
      <c r="HFC3" s="525"/>
      <c r="HFD3" s="525"/>
      <c r="HFE3" s="525"/>
      <c r="HFF3" s="525"/>
      <c r="HFG3" s="525"/>
      <c r="HFH3" s="525"/>
      <c r="HFI3" s="525"/>
      <c r="HFJ3" s="525"/>
      <c r="HFK3" s="525"/>
      <c r="HFL3" s="525"/>
      <c r="HFM3" s="525"/>
      <c r="HFN3" s="525"/>
      <c r="HFO3" s="525"/>
      <c r="HFP3" s="525"/>
      <c r="HFQ3" s="525"/>
      <c r="HFR3" s="525"/>
      <c r="HFS3" s="525"/>
      <c r="HFT3" s="525"/>
      <c r="HFU3" s="525"/>
      <c r="HFV3" s="525"/>
      <c r="HFW3" s="525"/>
      <c r="HFX3" s="525"/>
      <c r="HFY3" s="525"/>
      <c r="HFZ3" s="525"/>
      <c r="HGA3" s="525"/>
      <c r="HGB3" s="525"/>
      <c r="HGC3" s="525"/>
      <c r="HGD3" s="525"/>
      <c r="HGE3" s="525"/>
      <c r="HGF3" s="525"/>
      <c r="HGG3" s="525"/>
      <c r="HGH3" s="525"/>
      <c r="HGI3" s="525"/>
      <c r="HGJ3" s="525"/>
      <c r="HGK3" s="525"/>
      <c r="HGL3" s="525"/>
      <c r="HGM3" s="525"/>
      <c r="HGN3" s="525"/>
      <c r="HGO3" s="525"/>
      <c r="HGP3" s="525"/>
      <c r="HGQ3" s="525"/>
      <c r="HGR3" s="525"/>
      <c r="HGS3" s="525"/>
      <c r="HGT3" s="525"/>
      <c r="HGU3" s="525"/>
      <c r="HGV3" s="525"/>
      <c r="HGW3" s="525"/>
      <c r="HGX3" s="525"/>
      <c r="HGY3" s="525"/>
      <c r="HGZ3" s="525"/>
      <c r="HHA3" s="525"/>
      <c r="HHB3" s="525"/>
      <c r="HHC3" s="525"/>
      <c r="HHD3" s="525"/>
      <c r="HHE3" s="525"/>
      <c r="HHF3" s="525"/>
      <c r="HHG3" s="525"/>
      <c r="HHH3" s="525"/>
      <c r="HHI3" s="525"/>
      <c r="HHJ3" s="525"/>
      <c r="HHK3" s="525"/>
      <c r="HHL3" s="525"/>
      <c r="HHM3" s="525"/>
      <c r="HHN3" s="525"/>
      <c r="HHO3" s="525"/>
      <c r="HHP3" s="525"/>
      <c r="HHQ3" s="525"/>
      <c r="HHR3" s="525"/>
      <c r="HHS3" s="525"/>
      <c r="HHT3" s="525"/>
      <c r="HHU3" s="525"/>
      <c r="HHV3" s="525"/>
      <c r="HHW3" s="525"/>
      <c r="HHX3" s="525"/>
      <c r="HHY3" s="525"/>
      <c r="HHZ3" s="525"/>
      <c r="HIA3" s="525"/>
      <c r="HIB3" s="525"/>
      <c r="HIC3" s="525"/>
      <c r="HID3" s="525"/>
      <c r="HIE3" s="525"/>
      <c r="HIF3" s="525"/>
      <c r="HIG3" s="525"/>
      <c r="HIH3" s="525"/>
      <c r="HII3" s="525"/>
      <c r="HIJ3" s="525"/>
      <c r="HIK3" s="525"/>
      <c r="HIL3" s="525"/>
      <c r="HIM3" s="525"/>
      <c r="HIN3" s="525"/>
      <c r="HIO3" s="525"/>
      <c r="HIP3" s="525"/>
      <c r="HIQ3" s="525"/>
      <c r="HIR3" s="525"/>
      <c r="HIS3" s="525"/>
      <c r="HIT3" s="525"/>
      <c r="HIU3" s="525"/>
      <c r="HIV3" s="525"/>
      <c r="HIW3" s="525"/>
      <c r="HIX3" s="525"/>
      <c r="HIY3" s="525"/>
      <c r="HIZ3" s="525"/>
      <c r="HJA3" s="525"/>
      <c r="HJB3" s="525"/>
      <c r="HJC3" s="525"/>
      <c r="HJD3" s="525"/>
      <c r="HJE3" s="525"/>
      <c r="HJF3" s="525"/>
      <c r="HJG3" s="525"/>
      <c r="HJH3" s="525"/>
      <c r="HJI3" s="525"/>
      <c r="HJJ3" s="525"/>
      <c r="HJK3" s="525"/>
      <c r="HJL3" s="525"/>
      <c r="HJM3" s="525"/>
      <c r="HJN3" s="525"/>
      <c r="HJO3" s="525"/>
      <c r="HJP3" s="525"/>
      <c r="HJQ3" s="525"/>
      <c r="HJR3" s="525"/>
      <c r="HJS3" s="525"/>
      <c r="HJT3" s="525"/>
      <c r="HJU3" s="525"/>
      <c r="HJV3" s="525"/>
      <c r="HJW3" s="525"/>
      <c r="HJX3" s="525"/>
      <c r="HJY3" s="525"/>
      <c r="HJZ3" s="525"/>
      <c r="HKA3" s="525"/>
      <c r="HKB3" s="525"/>
      <c r="HKC3" s="525"/>
      <c r="HKD3" s="525"/>
      <c r="HKE3" s="525"/>
      <c r="HKF3" s="525"/>
      <c r="HKG3" s="525"/>
      <c r="HKH3" s="525"/>
      <c r="HKI3" s="525"/>
      <c r="HKJ3" s="525"/>
      <c r="HKK3" s="525"/>
      <c r="HKL3" s="525"/>
      <c r="HKM3" s="525"/>
      <c r="HKN3" s="525"/>
      <c r="HKO3" s="525"/>
      <c r="HKP3" s="525"/>
      <c r="HKQ3" s="525"/>
      <c r="HKR3" s="525"/>
      <c r="HKS3" s="525"/>
      <c r="HKT3" s="525"/>
      <c r="HKU3" s="525"/>
      <c r="HKV3" s="525"/>
      <c r="HKW3" s="525"/>
      <c r="HKX3" s="525"/>
      <c r="HKY3" s="525"/>
      <c r="HKZ3" s="525"/>
      <c r="HLA3" s="525"/>
      <c r="HLB3" s="525"/>
      <c r="HLC3" s="525"/>
      <c r="HLD3" s="525"/>
      <c r="HLE3" s="525"/>
      <c r="HLF3" s="525"/>
      <c r="HLG3" s="525"/>
      <c r="HLH3" s="525"/>
      <c r="HLI3" s="525"/>
      <c r="HLJ3" s="525"/>
      <c r="HLK3" s="525"/>
      <c r="HLL3" s="525"/>
      <c r="HLM3" s="525"/>
      <c r="HLN3" s="525"/>
      <c r="HLO3" s="525"/>
      <c r="HLP3" s="525"/>
      <c r="HLQ3" s="525"/>
      <c r="HLR3" s="525"/>
      <c r="HLS3" s="525"/>
      <c r="HLT3" s="525"/>
      <c r="HLU3" s="525"/>
      <c r="HLV3" s="525"/>
      <c r="HLW3" s="525"/>
      <c r="HLX3" s="525"/>
      <c r="HLY3" s="525"/>
      <c r="HLZ3" s="525"/>
      <c r="HMA3" s="525"/>
      <c r="HMB3" s="525"/>
      <c r="HMC3" s="525"/>
      <c r="HMD3" s="525"/>
      <c r="HME3" s="525"/>
      <c r="HMF3" s="525"/>
      <c r="HMG3" s="525"/>
      <c r="HMH3" s="525"/>
      <c r="HMI3" s="525"/>
      <c r="HMJ3" s="525"/>
      <c r="HMK3" s="525"/>
      <c r="HML3" s="525"/>
      <c r="HMM3" s="525"/>
      <c r="HMN3" s="525"/>
      <c r="HMO3" s="525"/>
      <c r="HMP3" s="525"/>
      <c r="HMQ3" s="525"/>
      <c r="HMR3" s="525"/>
      <c r="HMS3" s="525"/>
      <c r="HMT3" s="525"/>
      <c r="HMU3" s="525"/>
      <c r="HMV3" s="525"/>
      <c r="HMW3" s="525"/>
      <c r="HMX3" s="525"/>
      <c r="HMY3" s="525"/>
      <c r="HMZ3" s="525"/>
      <c r="HNA3" s="525"/>
      <c r="HNB3" s="525"/>
      <c r="HNC3" s="525"/>
      <c r="HND3" s="525"/>
      <c r="HNE3" s="525"/>
      <c r="HNF3" s="525"/>
      <c r="HNG3" s="525"/>
      <c r="HNH3" s="525"/>
      <c r="HNI3" s="525"/>
      <c r="HNJ3" s="525"/>
      <c r="HNK3" s="525"/>
      <c r="HNL3" s="525"/>
      <c r="HNM3" s="525"/>
      <c r="HNN3" s="525"/>
      <c r="HNO3" s="525"/>
      <c r="HNP3" s="525"/>
      <c r="HNQ3" s="525"/>
      <c r="HNR3" s="525"/>
      <c r="HNS3" s="525"/>
      <c r="HNT3" s="525"/>
      <c r="HNU3" s="525"/>
      <c r="HNV3" s="525"/>
      <c r="HNW3" s="525"/>
      <c r="HNX3" s="525"/>
      <c r="HNY3" s="525"/>
      <c r="HNZ3" s="525"/>
      <c r="HOA3" s="525"/>
      <c r="HOB3" s="525"/>
      <c r="HOC3" s="525"/>
      <c r="HOD3" s="525"/>
      <c r="HOE3" s="525"/>
      <c r="HOF3" s="525"/>
      <c r="HOG3" s="525"/>
      <c r="HOH3" s="525"/>
      <c r="HOI3" s="525"/>
      <c r="HOJ3" s="525"/>
      <c r="HOK3" s="525"/>
      <c r="HOL3" s="525"/>
      <c r="HOM3" s="525"/>
      <c r="HON3" s="525"/>
      <c r="HOO3" s="525"/>
      <c r="HOP3" s="525"/>
      <c r="HOQ3" s="525"/>
      <c r="HOR3" s="525"/>
      <c r="HOS3" s="525"/>
      <c r="HOT3" s="525"/>
      <c r="HOU3" s="525"/>
      <c r="HOV3" s="525"/>
      <c r="HOW3" s="525"/>
      <c r="HOX3" s="525"/>
      <c r="HOY3" s="525"/>
      <c r="HOZ3" s="525"/>
      <c r="HPA3" s="525"/>
      <c r="HPB3" s="525"/>
      <c r="HPC3" s="525"/>
      <c r="HPD3" s="525"/>
      <c r="HPE3" s="525"/>
      <c r="HPF3" s="525"/>
      <c r="HPG3" s="525"/>
      <c r="HPH3" s="525"/>
      <c r="HPI3" s="525"/>
      <c r="HPJ3" s="525"/>
      <c r="HPK3" s="525"/>
      <c r="HPL3" s="525"/>
      <c r="HPM3" s="525"/>
      <c r="HPN3" s="525"/>
      <c r="HPO3" s="525"/>
      <c r="HPP3" s="525"/>
      <c r="HPQ3" s="525"/>
      <c r="HPR3" s="525"/>
      <c r="HPS3" s="525"/>
      <c r="HPT3" s="525"/>
      <c r="HPU3" s="525"/>
      <c r="HPV3" s="525"/>
      <c r="HPW3" s="525"/>
      <c r="HPX3" s="525"/>
      <c r="HPY3" s="525"/>
      <c r="HPZ3" s="525"/>
      <c r="HQA3" s="525"/>
      <c r="HQB3" s="525"/>
      <c r="HQC3" s="525"/>
      <c r="HQD3" s="525"/>
      <c r="HQE3" s="525"/>
      <c r="HQF3" s="525"/>
      <c r="HQG3" s="525"/>
      <c r="HQH3" s="525"/>
      <c r="HQI3" s="525"/>
      <c r="HQJ3" s="525"/>
      <c r="HQK3" s="525"/>
      <c r="HQL3" s="525"/>
      <c r="HQM3" s="525"/>
      <c r="HQN3" s="525"/>
      <c r="HQO3" s="525"/>
      <c r="HQP3" s="525"/>
      <c r="HQQ3" s="525"/>
      <c r="HQR3" s="525"/>
      <c r="HQS3" s="525"/>
      <c r="HQT3" s="525"/>
      <c r="HQU3" s="525"/>
      <c r="HQV3" s="525"/>
      <c r="HQW3" s="525"/>
      <c r="HQX3" s="525"/>
      <c r="HQY3" s="525"/>
      <c r="HQZ3" s="525"/>
      <c r="HRA3" s="525"/>
      <c r="HRB3" s="525"/>
      <c r="HRC3" s="525"/>
      <c r="HRD3" s="525"/>
      <c r="HRE3" s="525"/>
      <c r="HRF3" s="525"/>
      <c r="HRG3" s="525"/>
      <c r="HRH3" s="525"/>
      <c r="HRI3" s="525"/>
      <c r="HRJ3" s="525"/>
      <c r="HRK3" s="525"/>
      <c r="HRL3" s="525"/>
      <c r="HRM3" s="525"/>
      <c r="HRN3" s="525"/>
      <c r="HRO3" s="525"/>
      <c r="HRP3" s="525"/>
      <c r="HRQ3" s="525"/>
      <c r="HRR3" s="525"/>
      <c r="HRS3" s="525"/>
      <c r="HRT3" s="525"/>
      <c r="HRU3" s="525"/>
      <c r="HRV3" s="525"/>
      <c r="HRW3" s="525"/>
      <c r="HRX3" s="525"/>
      <c r="HRY3" s="525"/>
      <c r="HRZ3" s="525"/>
      <c r="HSA3" s="525"/>
      <c r="HSB3" s="525"/>
      <c r="HSC3" s="525"/>
      <c r="HSD3" s="525"/>
      <c r="HSE3" s="525"/>
      <c r="HSF3" s="525"/>
      <c r="HSG3" s="525"/>
      <c r="HSH3" s="525"/>
      <c r="HSI3" s="525"/>
      <c r="HSJ3" s="525"/>
      <c r="HSK3" s="525"/>
      <c r="HSL3" s="525"/>
      <c r="HSM3" s="525"/>
      <c r="HSN3" s="525"/>
      <c r="HSO3" s="525"/>
      <c r="HSP3" s="525"/>
      <c r="HSQ3" s="525"/>
      <c r="HSR3" s="525"/>
      <c r="HSS3" s="525"/>
      <c r="HST3" s="525"/>
      <c r="HSU3" s="525"/>
      <c r="HSV3" s="525"/>
      <c r="HSW3" s="525"/>
      <c r="HSX3" s="525"/>
      <c r="HSY3" s="525"/>
      <c r="HSZ3" s="525"/>
      <c r="HTA3" s="525"/>
      <c r="HTB3" s="525"/>
      <c r="HTC3" s="525"/>
      <c r="HTD3" s="525"/>
      <c r="HTE3" s="525"/>
      <c r="HTF3" s="525"/>
      <c r="HTG3" s="525"/>
      <c r="HTH3" s="525"/>
      <c r="HTI3" s="525"/>
      <c r="HTJ3" s="525"/>
      <c r="HTK3" s="525"/>
      <c r="HTL3" s="525"/>
      <c r="HTM3" s="525"/>
      <c r="HTN3" s="525"/>
      <c r="HTO3" s="525"/>
      <c r="HTP3" s="525"/>
      <c r="HTQ3" s="525"/>
      <c r="HTR3" s="525"/>
      <c r="HTS3" s="525"/>
      <c r="HTT3" s="525"/>
      <c r="HTU3" s="525"/>
      <c r="HTV3" s="525"/>
      <c r="HTW3" s="525"/>
      <c r="HTX3" s="525"/>
      <c r="HTY3" s="525"/>
      <c r="HTZ3" s="525"/>
      <c r="HUA3" s="525"/>
      <c r="HUB3" s="525"/>
      <c r="HUC3" s="525"/>
      <c r="HUD3" s="525"/>
      <c r="HUE3" s="525"/>
      <c r="HUF3" s="525"/>
      <c r="HUG3" s="525"/>
      <c r="HUH3" s="525"/>
      <c r="HUI3" s="525"/>
      <c r="HUJ3" s="525"/>
      <c r="HUK3" s="525"/>
      <c r="HUL3" s="525"/>
      <c r="HUM3" s="525"/>
      <c r="HUN3" s="525"/>
      <c r="HUO3" s="525"/>
      <c r="HUP3" s="525"/>
      <c r="HUQ3" s="525"/>
      <c r="HUR3" s="525"/>
      <c r="HUS3" s="525"/>
      <c r="HUT3" s="525"/>
      <c r="HUU3" s="525"/>
      <c r="HUV3" s="525"/>
      <c r="HUW3" s="525"/>
      <c r="HUX3" s="525"/>
      <c r="HUY3" s="525"/>
      <c r="HUZ3" s="525"/>
      <c r="HVA3" s="525"/>
      <c r="HVB3" s="525"/>
      <c r="HVC3" s="525"/>
      <c r="HVD3" s="525"/>
      <c r="HVE3" s="525"/>
      <c r="HVF3" s="525"/>
      <c r="HVG3" s="525"/>
      <c r="HVH3" s="525"/>
      <c r="HVI3" s="525"/>
      <c r="HVJ3" s="525"/>
      <c r="HVK3" s="525"/>
      <c r="HVL3" s="525"/>
      <c r="HVM3" s="525"/>
      <c r="HVN3" s="525"/>
      <c r="HVO3" s="525"/>
      <c r="HVP3" s="525"/>
      <c r="HVQ3" s="525"/>
      <c r="HVR3" s="525"/>
      <c r="HVS3" s="525"/>
      <c r="HVT3" s="525"/>
      <c r="HVU3" s="525"/>
      <c r="HVV3" s="525"/>
      <c r="HVW3" s="525"/>
      <c r="HVX3" s="525"/>
      <c r="HVY3" s="525"/>
      <c r="HVZ3" s="525"/>
      <c r="HWA3" s="525"/>
      <c r="HWB3" s="525"/>
      <c r="HWC3" s="525"/>
      <c r="HWD3" s="525"/>
      <c r="HWE3" s="525"/>
      <c r="HWF3" s="525"/>
      <c r="HWG3" s="525"/>
      <c r="HWH3" s="525"/>
      <c r="HWI3" s="525"/>
      <c r="HWJ3" s="525"/>
      <c r="HWK3" s="525"/>
      <c r="HWL3" s="525"/>
      <c r="HWM3" s="525"/>
      <c r="HWN3" s="525"/>
      <c r="HWO3" s="525"/>
      <c r="HWP3" s="525"/>
      <c r="HWQ3" s="525"/>
      <c r="HWR3" s="525"/>
      <c r="HWS3" s="525"/>
      <c r="HWT3" s="525"/>
      <c r="HWU3" s="525"/>
      <c r="HWV3" s="525"/>
      <c r="HWW3" s="525"/>
      <c r="HWX3" s="525"/>
      <c r="HWY3" s="525"/>
      <c r="HWZ3" s="525"/>
      <c r="HXA3" s="525"/>
      <c r="HXB3" s="525"/>
      <c r="HXC3" s="525"/>
      <c r="HXD3" s="525"/>
      <c r="HXE3" s="525"/>
      <c r="HXF3" s="525"/>
      <c r="HXG3" s="525"/>
      <c r="HXH3" s="525"/>
      <c r="HXI3" s="525"/>
      <c r="HXJ3" s="525"/>
      <c r="HXK3" s="525"/>
      <c r="HXL3" s="525"/>
      <c r="HXM3" s="525"/>
      <c r="HXN3" s="525"/>
      <c r="HXO3" s="525"/>
      <c r="HXP3" s="525"/>
      <c r="HXQ3" s="525"/>
      <c r="HXR3" s="525"/>
      <c r="HXS3" s="525"/>
      <c r="HXT3" s="525"/>
      <c r="HXU3" s="525"/>
      <c r="HXV3" s="525"/>
      <c r="HXW3" s="525"/>
      <c r="HXX3" s="525"/>
      <c r="HXY3" s="525"/>
      <c r="HXZ3" s="525"/>
      <c r="HYA3" s="525"/>
      <c r="HYB3" s="525"/>
      <c r="HYC3" s="525"/>
      <c r="HYD3" s="525"/>
      <c r="HYE3" s="525"/>
      <c r="HYF3" s="525"/>
      <c r="HYG3" s="525"/>
      <c r="HYH3" s="525"/>
      <c r="HYI3" s="525"/>
      <c r="HYJ3" s="525"/>
      <c r="HYK3" s="525"/>
      <c r="HYL3" s="525"/>
      <c r="HYM3" s="525"/>
      <c r="HYN3" s="525"/>
      <c r="HYO3" s="525"/>
      <c r="HYP3" s="525"/>
      <c r="HYQ3" s="525"/>
      <c r="HYR3" s="525"/>
      <c r="HYS3" s="525"/>
      <c r="HYT3" s="525"/>
      <c r="HYU3" s="525"/>
      <c r="HYV3" s="525"/>
      <c r="HYW3" s="525"/>
      <c r="HYX3" s="525"/>
      <c r="HYY3" s="525"/>
      <c r="HYZ3" s="525"/>
      <c r="HZA3" s="525"/>
      <c r="HZB3" s="525"/>
      <c r="HZC3" s="525"/>
      <c r="HZD3" s="525"/>
      <c r="HZE3" s="525"/>
      <c r="HZF3" s="525"/>
      <c r="HZG3" s="525"/>
      <c r="HZH3" s="525"/>
      <c r="HZI3" s="525"/>
      <c r="HZJ3" s="525"/>
      <c r="HZK3" s="525"/>
      <c r="HZL3" s="525"/>
      <c r="HZM3" s="525"/>
      <c r="HZN3" s="525"/>
      <c r="HZO3" s="525"/>
      <c r="HZP3" s="525"/>
      <c r="HZQ3" s="525"/>
      <c r="HZR3" s="525"/>
      <c r="HZS3" s="525"/>
      <c r="HZT3" s="525"/>
      <c r="HZU3" s="525"/>
      <c r="HZV3" s="525"/>
      <c r="HZW3" s="525"/>
      <c r="HZX3" s="525"/>
      <c r="HZY3" s="525"/>
      <c r="HZZ3" s="525"/>
      <c r="IAA3" s="525"/>
      <c r="IAB3" s="525"/>
      <c r="IAC3" s="525"/>
      <c r="IAD3" s="525"/>
      <c r="IAE3" s="525"/>
      <c r="IAF3" s="525"/>
      <c r="IAG3" s="525"/>
      <c r="IAH3" s="525"/>
      <c r="IAI3" s="525"/>
      <c r="IAJ3" s="525"/>
      <c r="IAK3" s="525"/>
      <c r="IAL3" s="525"/>
      <c r="IAM3" s="525"/>
      <c r="IAN3" s="525"/>
      <c r="IAO3" s="525"/>
      <c r="IAP3" s="525"/>
      <c r="IAQ3" s="525"/>
      <c r="IAR3" s="525"/>
      <c r="IAS3" s="525"/>
      <c r="IAT3" s="525"/>
      <c r="IAU3" s="525"/>
      <c r="IAV3" s="525"/>
      <c r="IAW3" s="525"/>
      <c r="IAX3" s="525"/>
      <c r="IAY3" s="525"/>
      <c r="IAZ3" s="525"/>
      <c r="IBA3" s="525"/>
      <c r="IBB3" s="525"/>
      <c r="IBC3" s="525"/>
      <c r="IBD3" s="525"/>
      <c r="IBE3" s="525"/>
      <c r="IBF3" s="525"/>
      <c r="IBG3" s="525"/>
      <c r="IBH3" s="525"/>
      <c r="IBI3" s="525"/>
      <c r="IBJ3" s="525"/>
      <c r="IBK3" s="525"/>
      <c r="IBL3" s="525"/>
      <c r="IBM3" s="525"/>
      <c r="IBN3" s="525"/>
      <c r="IBO3" s="525"/>
      <c r="IBP3" s="525"/>
      <c r="IBQ3" s="525"/>
      <c r="IBR3" s="525"/>
      <c r="IBS3" s="525"/>
      <c r="IBT3" s="525"/>
      <c r="IBU3" s="525"/>
      <c r="IBV3" s="525"/>
      <c r="IBW3" s="525"/>
      <c r="IBX3" s="525"/>
      <c r="IBY3" s="525"/>
      <c r="IBZ3" s="525"/>
      <c r="ICA3" s="525"/>
      <c r="ICB3" s="525"/>
      <c r="ICC3" s="525"/>
      <c r="ICD3" s="525"/>
      <c r="ICE3" s="525"/>
      <c r="ICF3" s="525"/>
      <c r="ICG3" s="525"/>
      <c r="ICH3" s="525"/>
      <c r="ICI3" s="525"/>
      <c r="ICJ3" s="525"/>
      <c r="ICK3" s="525"/>
      <c r="ICL3" s="525"/>
      <c r="ICM3" s="525"/>
      <c r="ICN3" s="525"/>
      <c r="ICO3" s="525"/>
      <c r="ICP3" s="525"/>
      <c r="ICQ3" s="525"/>
      <c r="ICR3" s="525"/>
      <c r="ICS3" s="525"/>
      <c r="ICT3" s="525"/>
      <c r="ICU3" s="525"/>
      <c r="ICV3" s="525"/>
      <c r="ICW3" s="525"/>
      <c r="ICX3" s="525"/>
      <c r="ICY3" s="525"/>
      <c r="ICZ3" s="525"/>
      <c r="IDA3" s="525"/>
      <c r="IDB3" s="525"/>
      <c r="IDC3" s="525"/>
      <c r="IDD3" s="525"/>
      <c r="IDE3" s="525"/>
      <c r="IDF3" s="525"/>
      <c r="IDG3" s="525"/>
      <c r="IDH3" s="525"/>
      <c r="IDI3" s="525"/>
      <c r="IDJ3" s="525"/>
      <c r="IDK3" s="525"/>
      <c r="IDL3" s="525"/>
      <c r="IDM3" s="525"/>
      <c r="IDN3" s="525"/>
      <c r="IDO3" s="525"/>
      <c r="IDP3" s="525"/>
      <c r="IDQ3" s="525"/>
      <c r="IDR3" s="525"/>
      <c r="IDS3" s="525"/>
      <c r="IDT3" s="525"/>
      <c r="IDU3" s="525"/>
      <c r="IDV3" s="525"/>
      <c r="IDW3" s="525"/>
      <c r="IDX3" s="525"/>
      <c r="IDY3" s="525"/>
      <c r="IDZ3" s="525"/>
      <c r="IEA3" s="525"/>
      <c r="IEB3" s="525"/>
      <c r="IEC3" s="525"/>
      <c r="IED3" s="525"/>
      <c r="IEE3" s="525"/>
      <c r="IEF3" s="525"/>
      <c r="IEG3" s="525"/>
      <c r="IEH3" s="525"/>
      <c r="IEI3" s="525"/>
      <c r="IEJ3" s="525"/>
      <c r="IEK3" s="525"/>
      <c r="IEL3" s="525"/>
      <c r="IEM3" s="525"/>
      <c r="IEN3" s="525"/>
      <c r="IEO3" s="525"/>
      <c r="IEP3" s="525"/>
      <c r="IEQ3" s="525"/>
      <c r="IER3" s="525"/>
      <c r="IES3" s="525"/>
      <c r="IET3" s="525"/>
      <c r="IEU3" s="525"/>
      <c r="IEV3" s="525"/>
      <c r="IEW3" s="525"/>
      <c r="IEX3" s="525"/>
      <c r="IEY3" s="525"/>
      <c r="IEZ3" s="525"/>
      <c r="IFA3" s="525"/>
      <c r="IFB3" s="525"/>
      <c r="IFC3" s="525"/>
      <c r="IFD3" s="525"/>
      <c r="IFE3" s="525"/>
      <c r="IFF3" s="525"/>
      <c r="IFG3" s="525"/>
      <c r="IFH3" s="525"/>
      <c r="IFI3" s="525"/>
      <c r="IFJ3" s="525"/>
      <c r="IFK3" s="525"/>
      <c r="IFL3" s="525"/>
      <c r="IFM3" s="525"/>
      <c r="IFN3" s="525"/>
      <c r="IFO3" s="525"/>
      <c r="IFP3" s="525"/>
      <c r="IFQ3" s="525"/>
      <c r="IFR3" s="525"/>
      <c r="IFS3" s="525"/>
      <c r="IFT3" s="525"/>
      <c r="IFU3" s="525"/>
      <c r="IFV3" s="525"/>
      <c r="IFW3" s="525"/>
      <c r="IFX3" s="525"/>
      <c r="IFY3" s="525"/>
      <c r="IFZ3" s="525"/>
      <c r="IGA3" s="525"/>
      <c r="IGB3" s="525"/>
      <c r="IGC3" s="525"/>
      <c r="IGD3" s="525"/>
      <c r="IGE3" s="525"/>
      <c r="IGF3" s="525"/>
      <c r="IGG3" s="525"/>
      <c r="IGH3" s="525"/>
      <c r="IGI3" s="525"/>
      <c r="IGJ3" s="525"/>
      <c r="IGK3" s="525"/>
      <c r="IGL3" s="525"/>
      <c r="IGM3" s="525"/>
      <c r="IGN3" s="525"/>
      <c r="IGO3" s="525"/>
      <c r="IGP3" s="525"/>
      <c r="IGQ3" s="525"/>
      <c r="IGR3" s="525"/>
      <c r="IGS3" s="525"/>
      <c r="IGT3" s="525"/>
      <c r="IGU3" s="525"/>
      <c r="IGV3" s="525"/>
      <c r="IGW3" s="525"/>
      <c r="IGX3" s="525"/>
      <c r="IGY3" s="525"/>
      <c r="IGZ3" s="525"/>
      <c r="IHA3" s="525"/>
      <c r="IHB3" s="525"/>
      <c r="IHC3" s="525"/>
      <c r="IHD3" s="525"/>
      <c r="IHE3" s="525"/>
      <c r="IHF3" s="525"/>
      <c r="IHG3" s="525"/>
      <c r="IHH3" s="525"/>
      <c r="IHI3" s="525"/>
      <c r="IHJ3" s="525"/>
      <c r="IHK3" s="525"/>
      <c r="IHL3" s="525"/>
      <c r="IHM3" s="525"/>
      <c r="IHN3" s="525"/>
      <c r="IHO3" s="525"/>
      <c r="IHP3" s="525"/>
      <c r="IHQ3" s="525"/>
      <c r="IHR3" s="525"/>
      <c r="IHS3" s="525"/>
      <c r="IHT3" s="525"/>
      <c r="IHU3" s="525"/>
      <c r="IHV3" s="525"/>
      <c r="IHW3" s="525"/>
      <c r="IHX3" s="525"/>
      <c r="IHY3" s="525"/>
      <c r="IHZ3" s="525"/>
      <c r="IIA3" s="525"/>
      <c r="IIB3" s="525"/>
      <c r="IIC3" s="525"/>
      <c r="IID3" s="525"/>
      <c r="IIE3" s="525"/>
      <c r="IIF3" s="525"/>
      <c r="IIG3" s="525"/>
      <c r="IIH3" s="525"/>
      <c r="III3" s="525"/>
      <c r="IIJ3" s="525"/>
      <c r="IIK3" s="525"/>
      <c r="IIL3" s="525"/>
      <c r="IIM3" s="525"/>
      <c r="IIN3" s="525"/>
      <c r="IIO3" s="525"/>
      <c r="IIP3" s="525"/>
      <c r="IIQ3" s="525"/>
      <c r="IIR3" s="525"/>
      <c r="IIS3" s="525"/>
      <c r="IIT3" s="525"/>
      <c r="IIU3" s="525"/>
      <c r="IIV3" s="525"/>
      <c r="IIW3" s="525"/>
      <c r="IIX3" s="525"/>
      <c r="IIY3" s="525"/>
      <c r="IIZ3" s="525"/>
      <c r="IJA3" s="525"/>
      <c r="IJB3" s="525"/>
      <c r="IJC3" s="525"/>
      <c r="IJD3" s="525"/>
      <c r="IJE3" s="525"/>
      <c r="IJF3" s="525"/>
      <c r="IJG3" s="525"/>
      <c r="IJH3" s="525"/>
      <c r="IJI3" s="525"/>
      <c r="IJJ3" s="525"/>
      <c r="IJK3" s="525"/>
      <c r="IJL3" s="525"/>
      <c r="IJM3" s="525"/>
      <c r="IJN3" s="525"/>
      <c r="IJO3" s="525"/>
      <c r="IJP3" s="525"/>
      <c r="IJQ3" s="525"/>
      <c r="IJR3" s="525"/>
      <c r="IJS3" s="525"/>
      <c r="IJT3" s="525"/>
      <c r="IJU3" s="525"/>
      <c r="IJV3" s="525"/>
      <c r="IJW3" s="525"/>
      <c r="IJX3" s="525"/>
      <c r="IJY3" s="525"/>
      <c r="IJZ3" s="525"/>
      <c r="IKA3" s="525"/>
      <c r="IKB3" s="525"/>
      <c r="IKC3" s="525"/>
      <c r="IKD3" s="525"/>
      <c r="IKE3" s="525"/>
      <c r="IKF3" s="525"/>
      <c r="IKG3" s="525"/>
      <c r="IKH3" s="525"/>
      <c r="IKI3" s="525"/>
      <c r="IKJ3" s="525"/>
      <c r="IKK3" s="525"/>
      <c r="IKL3" s="525"/>
      <c r="IKM3" s="525"/>
      <c r="IKN3" s="525"/>
      <c r="IKO3" s="525"/>
      <c r="IKP3" s="525"/>
      <c r="IKQ3" s="525"/>
      <c r="IKR3" s="525"/>
      <c r="IKS3" s="525"/>
      <c r="IKT3" s="525"/>
      <c r="IKU3" s="525"/>
      <c r="IKV3" s="525"/>
      <c r="IKW3" s="525"/>
      <c r="IKX3" s="525"/>
      <c r="IKY3" s="525"/>
      <c r="IKZ3" s="525"/>
      <c r="ILA3" s="525"/>
      <c r="ILB3" s="525"/>
      <c r="ILC3" s="525"/>
      <c r="ILD3" s="525"/>
      <c r="ILE3" s="525"/>
      <c r="ILF3" s="525"/>
      <c r="ILG3" s="525"/>
      <c r="ILH3" s="525"/>
      <c r="ILI3" s="525"/>
      <c r="ILJ3" s="525"/>
      <c r="ILK3" s="525"/>
      <c r="ILL3" s="525"/>
      <c r="ILM3" s="525"/>
      <c r="ILN3" s="525"/>
      <c r="ILO3" s="525"/>
      <c r="ILP3" s="525"/>
      <c r="ILQ3" s="525"/>
      <c r="ILR3" s="525"/>
      <c r="ILS3" s="525"/>
      <c r="ILT3" s="525"/>
      <c r="ILU3" s="525"/>
      <c r="ILV3" s="525"/>
      <c r="ILW3" s="525"/>
      <c r="ILX3" s="525"/>
      <c r="ILY3" s="525"/>
      <c r="ILZ3" s="525"/>
      <c r="IMA3" s="525"/>
      <c r="IMB3" s="525"/>
      <c r="IMC3" s="525"/>
      <c r="IMD3" s="525"/>
      <c r="IME3" s="525"/>
      <c r="IMF3" s="525"/>
      <c r="IMG3" s="525"/>
      <c r="IMH3" s="525"/>
      <c r="IMI3" s="525"/>
      <c r="IMJ3" s="525"/>
      <c r="IMK3" s="525"/>
      <c r="IML3" s="525"/>
      <c r="IMM3" s="525"/>
      <c r="IMN3" s="525"/>
      <c r="IMO3" s="525"/>
      <c r="IMP3" s="525"/>
      <c r="IMQ3" s="525"/>
      <c r="IMR3" s="525"/>
      <c r="IMS3" s="525"/>
      <c r="IMT3" s="525"/>
      <c r="IMU3" s="525"/>
      <c r="IMV3" s="525"/>
      <c r="IMW3" s="525"/>
      <c r="IMX3" s="525"/>
      <c r="IMY3" s="525"/>
      <c r="IMZ3" s="525"/>
      <c r="INA3" s="525"/>
      <c r="INB3" s="525"/>
      <c r="INC3" s="525"/>
      <c r="IND3" s="525"/>
      <c r="INE3" s="525"/>
      <c r="INF3" s="525"/>
      <c r="ING3" s="525"/>
      <c r="INH3" s="525"/>
      <c r="INI3" s="525"/>
      <c r="INJ3" s="525"/>
      <c r="INK3" s="525"/>
      <c r="INL3" s="525"/>
      <c r="INM3" s="525"/>
      <c r="INN3" s="525"/>
      <c r="INO3" s="525"/>
      <c r="INP3" s="525"/>
      <c r="INQ3" s="525"/>
      <c r="INR3" s="525"/>
      <c r="INS3" s="525"/>
      <c r="INT3" s="525"/>
      <c r="INU3" s="525"/>
      <c r="INV3" s="525"/>
      <c r="INW3" s="525"/>
      <c r="INX3" s="525"/>
      <c r="INY3" s="525"/>
      <c r="INZ3" s="525"/>
      <c r="IOA3" s="525"/>
      <c r="IOB3" s="525"/>
      <c r="IOC3" s="525"/>
      <c r="IOD3" s="525"/>
      <c r="IOE3" s="525"/>
      <c r="IOF3" s="525"/>
      <c r="IOG3" s="525"/>
      <c r="IOH3" s="525"/>
      <c r="IOI3" s="525"/>
      <c r="IOJ3" s="525"/>
      <c r="IOK3" s="525"/>
      <c r="IOL3" s="525"/>
      <c r="IOM3" s="525"/>
      <c r="ION3" s="525"/>
      <c r="IOO3" s="525"/>
      <c r="IOP3" s="525"/>
      <c r="IOQ3" s="525"/>
      <c r="IOR3" s="525"/>
      <c r="IOS3" s="525"/>
      <c r="IOT3" s="525"/>
      <c r="IOU3" s="525"/>
      <c r="IOV3" s="525"/>
      <c r="IOW3" s="525"/>
      <c r="IOX3" s="525"/>
      <c r="IOY3" s="525"/>
      <c r="IOZ3" s="525"/>
      <c r="IPA3" s="525"/>
      <c r="IPB3" s="525"/>
      <c r="IPC3" s="525"/>
      <c r="IPD3" s="525"/>
      <c r="IPE3" s="525"/>
      <c r="IPF3" s="525"/>
      <c r="IPG3" s="525"/>
      <c r="IPH3" s="525"/>
      <c r="IPI3" s="525"/>
      <c r="IPJ3" s="525"/>
      <c r="IPK3" s="525"/>
      <c r="IPL3" s="525"/>
      <c r="IPM3" s="525"/>
      <c r="IPN3" s="525"/>
      <c r="IPO3" s="525"/>
      <c r="IPP3" s="525"/>
      <c r="IPQ3" s="525"/>
      <c r="IPR3" s="525"/>
      <c r="IPS3" s="525"/>
      <c r="IPT3" s="525"/>
      <c r="IPU3" s="525"/>
      <c r="IPV3" s="525"/>
      <c r="IPW3" s="525"/>
      <c r="IPX3" s="525"/>
      <c r="IPY3" s="525"/>
      <c r="IPZ3" s="525"/>
      <c r="IQA3" s="525"/>
      <c r="IQB3" s="525"/>
      <c r="IQC3" s="525"/>
      <c r="IQD3" s="525"/>
      <c r="IQE3" s="525"/>
      <c r="IQF3" s="525"/>
      <c r="IQG3" s="525"/>
      <c r="IQH3" s="525"/>
      <c r="IQI3" s="525"/>
      <c r="IQJ3" s="525"/>
      <c r="IQK3" s="525"/>
      <c r="IQL3" s="525"/>
      <c r="IQM3" s="525"/>
      <c r="IQN3" s="525"/>
      <c r="IQO3" s="525"/>
      <c r="IQP3" s="525"/>
      <c r="IQQ3" s="525"/>
      <c r="IQR3" s="525"/>
      <c r="IQS3" s="525"/>
      <c r="IQT3" s="525"/>
      <c r="IQU3" s="525"/>
      <c r="IQV3" s="525"/>
      <c r="IQW3" s="525"/>
      <c r="IQX3" s="525"/>
      <c r="IQY3" s="525"/>
      <c r="IQZ3" s="525"/>
      <c r="IRA3" s="525"/>
      <c r="IRB3" s="525"/>
      <c r="IRC3" s="525"/>
      <c r="IRD3" s="525"/>
      <c r="IRE3" s="525"/>
      <c r="IRF3" s="525"/>
      <c r="IRG3" s="525"/>
      <c r="IRH3" s="525"/>
      <c r="IRI3" s="525"/>
      <c r="IRJ3" s="525"/>
      <c r="IRK3" s="525"/>
      <c r="IRL3" s="525"/>
      <c r="IRM3" s="525"/>
      <c r="IRN3" s="525"/>
      <c r="IRO3" s="525"/>
      <c r="IRP3" s="525"/>
      <c r="IRQ3" s="525"/>
      <c r="IRR3" s="525"/>
      <c r="IRS3" s="525"/>
      <c r="IRT3" s="525"/>
      <c r="IRU3" s="525"/>
      <c r="IRV3" s="525"/>
      <c r="IRW3" s="525"/>
      <c r="IRX3" s="525"/>
      <c r="IRY3" s="525"/>
      <c r="IRZ3" s="525"/>
      <c r="ISA3" s="525"/>
      <c r="ISB3" s="525"/>
      <c r="ISC3" s="525"/>
      <c r="ISD3" s="525"/>
      <c r="ISE3" s="525"/>
      <c r="ISF3" s="525"/>
      <c r="ISG3" s="525"/>
      <c r="ISH3" s="525"/>
      <c r="ISI3" s="525"/>
      <c r="ISJ3" s="525"/>
      <c r="ISK3" s="525"/>
      <c r="ISL3" s="525"/>
      <c r="ISM3" s="525"/>
      <c r="ISN3" s="525"/>
      <c r="ISO3" s="525"/>
      <c r="ISP3" s="525"/>
      <c r="ISQ3" s="525"/>
      <c r="ISR3" s="525"/>
      <c r="ISS3" s="525"/>
      <c r="IST3" s="525"/>
      <c r="ISU3" s="525"/>
      <c r="ISV3" s="525"/>
      <c r="ISW3" s="525"/>
      <c r="ISX3" s="525"/>
      <c r="ISY3" s="525"/>
      <c r="ISZ3" s="525"/>
      <c r="ITA3" s="525"/>
      <c r="ITB3" s="525"/>
      <c r="ITC3" s="525"/>
      <c r="ITD3" s="525"/>
      <c r="ITE3" s="525"/>
      <c r="ITF3" s="525"/>
      <c r="ITG3" s="525"/>
      <c r="ITH3" s="525"/>
      <c r="ITI3" s="525"/>
      <c r="ITJ3" s="525"/>
      <c r="ITK3" s="525"/>
      <c r="ITL3" s="525"/>
      <c r="ITM3" s="525"/>
      <c r="ITN3" s="525"/>
      <c r="ITO3" s="525"/>
      <c r="ITP3" s="525"/>
      <c r="ITQ3" s="525"/>
      <c r="ITR3" s="525"/>
      <c r="ITS3" s="525"/>
      <c r="ITT3" s="525"/>
      <c r="ITU3" s="525"/>
      <c r="ITV3" s="525"/>
      <c r="ITW3" s="525"/>
      <c r="ITX3" s="525"/>
      <c r="ITY3" s="525"/>
      <c r="ITZ3" s="525"/>
      <c r="IUA3" s="525"/>
      <c r="IUB3" s="525"/>
      <c r="IUC3" s="525"/>
      <c r="IUD3" s="525"/>
      <c r="IUE3" s="525"/>
      <c r="IUF3" s="525"/>
      <c r="IUG3" s="525"/>
      <c r="IUH3" s="525"/>
      <c r="IUI3" s="525"/>
      <c r="IUJ3" s="525"/>
      <c r="IUK3" s="525"/>
      <c r="IUL3" s="525"/>
      <c r="IUM3" s="525"/>
      <c r="IUN3" s="525"/>
      <c r="IUO3" s="525"/>
      <c r="IUP3" s="525"/>
      <c r="IUQ3" s="525"/>
      <c r="IUR3" s="525"/>
      <c r="IUS3" s="525"/>
      <c r="IUT3" s="525"/>
      <c r="IUU3" s="525"/>
      <c r="IUV3" s="525"/>
      <c r="IUW3" s="525"/>
      <c r="IUX3" s="525"/>
      <c r="IUY3" s="525"/>
      <c r="IUZ3" s="525"/>
      <c r="IVA3" s="525"/>
      <c r="IVB3" s="525"/>
      <c r="IVC3" s="525"/>
      <c r="IVD3" s="525"/>
      <c r="IVE3" s="525"/>
      <c r="IVF3" s="525"/>
      <c r="IVG3" s="525"/>
      <c r="IVH3" s="525"/>
      <c r="IVI3" s="525"/>
      <c r="IVJ3" s="525"/>
      <c r="IVK3" s="525"/>
      <c r="IVL3" s="525"/>
      <c r="IVM3" s="525"/>
      <c r="IVN3" s="525"/>
      <c r="IVO3" s="525"/>
      <c r="IVP3" s="525"/>
      <c r="IVQ3" s="525"/>
      <c r="IVR3" s="525"/>
      <c r="IVS3" s="525"/>
      <c r="IVT3" s="525"/>
      <c r="IVU3" s="525"/>
      <c r="IVV3" s="525"/>
      <c r="IVW3" s="525"/>
      <c r="IVX3" s="525"/>
      <c r="IVY3" s="525"/>
      <c r="IVZ3" s="525"/>
      <c r="IWA3" s="525"/>
      <c r="IWB3" s="525"/>
      <c r="IWC3" s="525"/>
      <c r="IWD3" s="525"/>
      <c r="IWE3" s="525"/>
      <c r="IWF3" s="525"/>
      <c r="IWG3" s="525"/>
      <c r="IWH3" s="525"/>
      <c r="IWI3" s="525"/>
      <c r="IWJ3" s="525"/>
      <c r="IWK3" s="525"/>
      <c r="IWL3" s="525"/>
      <c r="IWM3" s="525"/>
      <c r="IWN3" s="525"/>
      <c r="IWO3" s="525"/>
      <c r="IWP3" s="525"/>
      <c r="IWQ3" s="525"/>
      <c r="IWR3" s="525"/>
      <c r="IWS3" s="525"/>
      <c r="IWT3" s="525"/>
      <c r="IWU3" s="525"/>
      <c r="IWV3" s="525"/>
      <c r="IWW3" s="525"/>
      <c r="IWX3" s="525"/>
      <c r="IWY3" s="525"/>
      <c r="IWZ3" s="525"/>
      <c r="IXA3" s="525"/>
      <c r="IXB3" s="525"/>
      <c r="IXC3" s="525"/>
      <c r="IXD3" s="525"/>
      <c r="IXE3" s="525"/>
      <c r="IXF3" s="525"/>
      <c r="IXG3" s="525"/>
      <c r="IXH3" s="525"/>
      <c r="IXI3" s="525"/>
      <c r="IXJ3" s="525"/>
      <c r="IXK3" s="525"/>
      <c r="IXL3" s="525"/>
      <c r="IXM3" s="525"/>
      <c r="IXN3" s="525"/>
      <c r="IXO3" s="525"/>
      <c r="IXP3" s="525"/>
      <c r="IXQ3" s="525"/>
      <c r="IXR3" s="525"/>
      <c r="IXS3" s="525"/>
      <c r="IXT3" s="525"/>
      <c r="IXU3" s="525"/>
      <c r="IXV3" s="525"/>
      <c r="IXW3" s="525"/>
      <c r="IXX3" s="525"/>
      <c r="IXY3" s="525"/>
      <c r="IXZ3" s="525"/>
      <c r="IYA3" s="525"/>
      <c r="IYB3" s="525"/>
      <c r="IYC3" s="525"/>
      <c r="IYD3" s="525"/>
      <c r="IYE3" s="525"/>
      <c r="IYF3" s="525"/>
      <c r="IYG3" s="525"/>
      <c r="IYH3" s="525"/>
      <c r="IYI3" s="525"/>
      <c r="IYJ3" s="525"/>
      <c r="IYK3" s="525"/>
      <c r="IYL3" s="525"/>
      <c r="IYM3" s="525"/>
      <c r="IYN3" s="525"/>
      <c r="IYO3" s="525"/>
      <c r="IYP3" s="525"/>
      <c r="IYQ3" s="525"/>
      <c r="IYR3" s="525"/>
      <c r="IYS3" s="525"/>
      <c r="IYT3" s="525"/>
      <c r="IYU3" s="525"/>
      <c r="IYV3" s="525"/>
      <c r="IYW3" s="525"/>
      <c r="IYX3" s="525"/>
      <c r="IYY3" s="525"/>
      <c r="IYZ3" s="525"/>
      <c r="IZA3" s="525"/>
      <c r="IZB3" s="525"/>
      <c r="IZC3" s="525"/>
      <c r="IZD3" s="525"/>
      <c r="IZE3" s="525"/>
      <c r="IZF3" s="525"/>
      <c r="IZG3" s="525"/>
      <c r="IZH3" s="525"/>
      <c r="IZI3" s="525"/>
      <c r="IZJ3" s="525"/>
      <c r="IZK3" s="525"/>
      <c r="IZL3" s="525"/>
      <c r="IZM3" s="525"/>
      <c r="IZN3" s="525"/>
      <c r="IZO3" s="525"/>
      <c r="IZP3" s="525"/>
      <c r="IZQ3" s="525"/>
      <c r="IZR3" s="525"/>
      <c r="IZS3" s="525"/>
      <c r="IZT3" s="525"/>
      <c r="IZU3" s="525"/>
      <c r="IZV3" s="525"/>
      <c r="IZW3" s="525"/>
      <c r="IZX3" s="525"/>
      <c r="IZY3" s="525"/>
      <c r="IZZ3" s="525"/>
      <c r="JAA3" s="525"/>
      <c r="JAB3" s="525"/>
      <c r="JAC3" s="525"/>
      <c r="JAD3" s="525"/>
      <c r="JAE3" s="525"/>
      <c r="JAF3" s="525"/>
      <c r="JAG3" s="525"/>
      <c r="JAH3" s="525"/>
      <c r="JAI3" s="525"/>
      <c r="JAJ3" s="525"/>
      <c r="JAK3" s="525"/>
      <c r="JAL3" s="525"/>
      <c r="JAM3" s="525"/>
      <c r="JAN3" s="525"/>
      <c r="JAO3" s="525"/>
      <c r="JAP3" s="525"/>
      <c r="JAQ3" s="525"/>
      <c r="JAR3" s="525"/>
      <c r="JAS3" s="525"/>
      <c r="JAT3" s="525"/>
      <c r="JAU3" s="525"/>
      <c r="JAV3" s="525"/>
      <c r="JAW3" s="525"/>
      <c r="JAX3" s="525"/>
      <c r="JAY3" s="525"/>
      <c r="JAZ3" s="525"/>
      <c r="JBA3" s="525"/>
      <c r="JBB3" s="525"/>
      <c r="JBC3" s="525"/>
      <c r="JBD3" s="525"/>
      <c r="JBE3" s="525"/>
      <c r="JBF3" s="525"/>
      <c r="JBG3" s="525"/>
      <c r="JBH3" s="525"/>
      <c r="JBI3" s="525"/>
      <c r="JBJ3" s="525"/>
      <c r="JBK3" s="525"/>
      <c r="JBL3" s="525"/>
      <c r="JBM3" s="525"/>
      <c r="JBN3" s="525"/>
      <c r="JBO3" s="525"/>
      <c r="JBP3" s="525"/>
      <c r="JBQ3" s="525"/>
      <c r="JBR3" s="525"/>
      <c r="JBS3" s="525"/>
      <c r="JBT3" s="525"/>
      <c r="JBU3" s="525"/>
      <c r="JBV3" s="525"/>
      <c r="JBW3" s="525"/>
      <c r="JBX3" s="525"/>
      <c r="JBY3" s="525"/>
      <c r="JBZ3" s="525"/>
      <c r="JCA3" s="525"/>
      <c r="JCB3" s="525"/>
      <c r="JCC3" s="525"/>
      <c r="JCD3" s="525"/>
      <c r="JCE3" s="525"/>
      <c r="JCF3" s="525"/>
      <c r="JCG3" s="525"/>
      <c r="JCH3" s="525"/>
      <c r="JCI3" s="525"/>
      <c r="JCJ3" s="525"/>
      <c r="JCK3" s="525"/>
      <c r="JCL3" s="525"/>
      <c r="JCM3" s="525"/>
      <c r="JCN3" s="525"/>
      <c r="JCO3" s="525"/>
      <c r="JCP3" s="525"/>
      <c r="JCQ3" s="525"/>
      <c r="JCR3" s="525"/>
      <c r="JCS3" s="525"/>
      <c r="JCT3" s="525"/>
      <c r="JCU3" s="525"/>
      <c r="JCV3" s="525"/>
      <c r="JCW3" s="525"/>
      <c r="JCX3" s="525"/>
      <c r="JCY3" s="525"/>
      <c r="JCZ3" s="525"/>
      <c r="JDA3" s="525"/>
      <c r="JDB3" s="525"/>
      <c r="JDC3" s="525"/>
      <c r="JDD3" s="525"/>
      <c r="JDE3" s="525"/>
      <c r="JDF3" s="525"/>
      <c r="JDG3" s="525"/>
      <c r="JDH3" s="525"/>
      <c r="JDI3" s="525"/>
      <c r="JDJ3" s="525"/>
      <c r="JDK3" s="525"/>
      <c r="JDL3" s="525"/>
      <c r="JDM3" s="525"/>
      <c r="JDN3" s="525"/>
      <c r="JDO3" s="525"/>
      <c r="JDP3" s="525"/>
      <c r="JDQ3" s="525"/>
      <c r="JDR3" s="525"/>
      <c r="JDS3" s="525"/>
      <c r="JDT3" s="525"/>
      <c r="JDU3" s="525"/>
      <c r="JDV3" s="525"/>
      <c r="JDW3" s="525"/>
      <c r="JDX3" s="525"/>
      <c r="JDY3" s="525"/>
      <c r="JDZ3" s="525"/>
      <c r="JEA3" s="525"/>
      <c r="JEB3" s="525"/>
      <c r="JEC3" s="525"/>
      <c r="JED3" s="525"/>
      <c r="JEE3" s="525"/>
      <c r="JEF3" s="525"/>
      <c r="JEG3" s="525"/>
      <c r="JEH3" s="525"/>
      <c r="JEI3" s="525"/>
      <c r="JEJ3" s="525"/>
      <c r="JEK3" s="525"/>
      <c r="JEL3" s="525"/>
      <c r="JEM3" s="525"/>
      <c r="JEN3" s="525"/>
      <c r="JEO3" s="525"/>
      <c r="JEP3" s="525"/>
      <c r="JEQ3" s="525"/>
      <c r="JER3" s="525"/>
      <c r="JES3" s="525"/>
      <c r="JET3" s="525"/>
      <c r="JEU3" s="525"/>
      <c r="JEV3" s="525"/>
      <c r="JEW3" s="525"/>
      <c r="JEX3" s="525"/>
      <c r="JEY3" s="525"/>
      <c r="JEZ3" s="525"/>
      <c r="JFA3" s="525"/>
      <c r="JFB3" s="525"/>
      <c r="JFC3" s="525"/>
      <c r="JFD3" s="525"/>
      <c r="JFE3" s="525"/>
      <c r="JFF3" s="525"/>
      <c r="JFG3" s="525"/>
      <c r="JFH3" s="525"/>
      <c r="JFI3" s="525"/>
      <c r="JFJ3" s="525"/>
      <c r="JFK3" s="525"/>
      <c r="JFL3" s="525"/>
      <c r="JFM3" s="525"/>
      <c r="JFN3" s="525"/>
      <c r="JFO3" s="525"/>
      <c r="JFP3" s="525"/>
      <c r="JFQ3" s="525"/>
      <c r="JFR3" s="525"/>
      <c r="JFS3" s="525"/>
      <c r="JFT3" s="525"/>
      <c r="JFU3" s="525"/>
      <c r="JFV3" s="525"/>
      <c r="JFW3" s="525"/>
      <c r="JFX3" s="525"/>
      <c r="JFY3" s="525"/>
      <c r="JFZ3" s="525"/>
      <c r="JGA3" s="525"/>
      <c r="JGB3" s="525"/>
      <c r="JGC3" s="525"/>
      <c r="JGD3" s="525"/>
      <c r="JGE3" s="525"/>
      <c r="JGF3" s="525"/>
      <c r="JGG3" s="525"/>
      <c r="JGH3" s="525"/>
      <c r="JGI3" s="525"/>
      <c r="JGJ3" s="525"/>
      <c r="JGK3" s="525"/>
      <c r="JGL3" s="525"/>
      <c r="JGM3" s="525"/>
      <c r="JGN3" s="525"/>
      <c r="JGO3" s="525"/>
      <c r="JGP3" s="525"/>
      <c r="JGQ3" s="525"/>
      <c r="JGR3" s="525"/>
      <c r="JGS3" s="525"/>
      <c r="JGT3" s="525"/>
      <c r="JGU3" s="525"/>
      <c r="JGV3" s="525"/>
      <c r="JGW3" s="525"/>
      <c r="JGX3" s="525"/>
      <c r="JGY3" s="525"/>
      <c r="JGZ3" s="525"/>
      <c r="JHA3" s="525"/>
      <c r="JHB3" s="525"/>
      <c r="JHC3" s="525"/>
      <c r="JHD3" s="525"/>
      <c r="JHE3" s="525"/>
      <c r="JHF3" s="525"/>
      <c r="JHG3" s="525"/>
      <c r="JHH3" s="525"/>
      <c r="JHI3" s="525"/>
      <c r="JHJ3" s="525"/>
      <c r="JHK3" s="525"/>
      <c r="JHL3" s="525"/>
      <c r="JHM3" s="525"/>
      <c r="JHN3" s="525"/>
      <c r="JHO3" s="525"/>
      <c r="JHP3" s="525"/>
      <c r="JHQ3" s="525"/>
      <c r="JHR3" s="525"/>
      <c r="JHS3" s="525"/>
      <c r="JHT3" s="525"/>
      <c r="JHU3" s="525"/>
      <c r="JHV3" s="525"/>
      <c r="JHW3" s="525"/>
      <c r="JHX3" s="525"/>
      <c r="JHY3" s="525"/>
      <c r="JHZ3" s="525"/>
      <c r="JIA3" s="525"/>
      <c r="JIB3" s="525"/>
      <c r="JIC3" s="525"/>
      <c r="JID3" s="525"/>
      <c r="JIE3" s="525"/>
      <c r="JIF3" s="525"/>
      <c r="JIG3" s="525"/>
      <c r="JIH3" s="525"/>
      <c r="JII3" s="525"/>
      <c r="JIJ3" s="525"/>
      <c r="JIK3" s="525"/>
      <c r="JIL3" s="525"/>
      <c r="JIM3" s="525"/>
      <c r="JIN3" s="525"/>
      <c r="JIO3" s="525"/>
      <c r="JIP3" s="525"/>
      <c r="JIQ3" s="525"/>
      <c r="JIR3" s="525"/>
      <c r="JIS3" s="525"/>
      <c r="JIT3" s="525"/>
      <c r="JIU3" s="525"/>
      <c r="JIV3" s="525"/>
      <c r="JIW3" s="525"/>
      <c r="JIX3" s="525"/>
      <c r="JIY3" s="525"/>
      <c r="JIZ3" s="525"/>
      <c r="JJA3" s="525"/>
      <c r="JJB3" s="525"/>
      <c r="JJC3" s="525"/>
      <c r="JJD3" s="525"/>
      <c r="JJE3" s="525"/>
      <c r="JJF3" s="525"/>
      <c r="JJG3" s="525"/>
      <c r="JJH3" s="525"/>
      <c r="JJI3" s="525"/>
      <c r="JJJ3" s="525"/>
      <c r="JJK3" s="525"/>
      <c r="JJL3" s="525"/>
      <c r="JJM3" s="525"/>
      <c r="JJN3" s="525"/>
      <c r="JJO3" s="525"/>
      <c r="JJP3" s="525"/>
      <c r="JJQ3" s="525"/>
      <c r="JJR3" s="525"/>
      <c r="JJS3" s="525"/>
      <c r="JJT3" s="525"/>
      <c r="JJU3" s="525"/>
      <c r="JJV3" s="525"/>
      <c r="JJW3" s="525"/>
      <c r="JJX3" s="525"/>
      <c r="JJY3" s="525"/>
      <c r="JJZ3" s="525"/>
      <c r="JKA3" s="525"/>
      <c r="JKB3" s="525"/>
      <c r="JKC3" s="525"/>
      <c r="JKD3" s="525"/>
      <c r="JKE3" s="525"/>
      <c r="JKF3" s="525"/>
      <c r="JKG3" s="525"/>
      <c r="JKH3" s="525"/>
      <c r="JKI3" s="525"/>
      <c r="JKJ3" s="525"/>
      <c r="JKK3" s="525"/>
      <c r="JKL3" s="525"/>
      <c r="JKM3" s="525"/>
      <c r="JKN3" s="525"/>
      <c r="JKO3" s="525"/>
      <c r="JKP3" s="525"/>
      <c r="JKQ3" s="525"/>
      <c r="JKR3" s="525"/>
      <c r="JKS3" s="525"/>
      <c r="JKT3" s="525"/>
      <c r="JKU3" s="525"/>
      <c r="JKV3" s="525"/>
      <c r="JKW3" s="525"/>
      <c r="JKX3" s="525"/>
      <c r="JKY3" s="525"/>
      <c r="JKZ3" s="525"/>
      <c r="JLA3" s="525"/>
      <c r="JLB3" s="525"/>
      <c r="JLC3" s="525"/>
      <c r="JLD3" s="525"/>
      <c r="JLE3" s="525"/>
      <c r="JLF3" s="525"/>
      <c r="JLG3" s="525"/>
      <c r="JLH3" s="525"/>
      <c r="JLI3" s="525"/>
      <c r="JLJ3" s="525"/>
      <c r="JLK3" s="525"/>
      <c r="JLL3" s="525"/>
      <c r="JLM3" s="525"/>
      <c r="JLN3" s="525"/>
      <c r="JLO3" s="525"/>
      <c r="JLP3" s="525"/>
      <c r="JLQ3" s="525"/>
      <c r="JLR3" s="525"/>
      <c r="JLS3" s="525"/>
      <c r="JLT3" s="525"/>
      <c r="JLU3" s="525"/>
      <c r="JLV3" s="525"/>
      <c r="JLW3" s="525"/>
      <c r="JLX3" s="525"/>
      <c r="JLY3" s="525"/>
      <c r="JLZ3" s="525"/>
      <c r="JMA3" s="525"/>
      <c r="JMB3" s="525"/>
      <c r="JMC3" s="525"/>
      <c r="JMD3" s="525"/>
      <c r="JME3" s="525"/>
      <c r="JMF3" s="525"/>
      <c r="JMG3" s="525"/>
      <c r="JMH3" s="525"/>
      <c r="JMI3" s="525"/>
      <c r="JMJ3" s="525"/>
      <c r="JMK3" s="525"/>
      <c r="JML3" s="525"/>
      <c r="JMM3" s="525"/>
      <c r="JMN3" s="525"/>
      <c r="JMO3" s="525"/>
      <c r="JMP3" s="525"/>
      <c r="JMQ3" s="525"/>
      <c r="JMR3" s="525"/>
      <c r="JMS3" s="525"/>
      <c r="JMT3" s="525"/>
      <c r="JMU3" s="525"/>
      <c r="JMV3" s="525"/>
      <c r="JMW3" s="525"/>
      <c r="JMX3" s="525"/>
      <c r="JMY3" s="525"/>
      <c r="JMZ3" s="525"/>
      <c r="JNA3" s="525"/>
      <c r="JNB3" s="525"/>
      <c r="JNC3" s="525"/>
      <c r="JND3" s="525"/>
      <c r="JNE3" s="525"/>
      <c r="JNF3" s="525"/>
      <c r="JNG3" s="525"/>
      <c r="JNH3" s="525"/>
      <c r="JNI3" s="525"/>
      <c r="JNJ3" s="525"/>
      <c r="JNK3" s="525"/>
      <c r="JNL3" s="525"/>
      <c r="JNM3" s="525"/>
      <c r="JNN3" s="525"/>
      <c r="JNO3" s="525"/>
      <c r="JNP3" s="525"/>
      <c r="JNQ3" s="525"/>
      <c r="JNR3" s="525"/>
      <c r="JNS3" s="525"/>
      <c r="JNT3" s="525"/>
      <c r="JNU3" s="525"/>
      <c r="JNV3" s="525"/>
      <c r="JNW3" s="525"/>
      <c r="JNX3" s="525"/>
      <c r="JNY3" s="525"/>
      <c r="JNZ3" s="525"/>
      <c r="JOA3" s="525"/>
      <c r="JOB3" s="525"/>
      <c r="JOC3" s="525"/>
      <c r="JOD3" s="525"/>
      <c r="JOE3" s="525"/>
      <c r="JOF3" s="525"/>
      <c r="JOG3" s="525"/>
      <c r="JOH3" s="525"/>
      <c r="JOI3" s="525"/>
      <c r="JOJ3" s="525"/>
      <c r="JOK3" s="525"/>
      <c r="JOL3" s="525"/>
      <c r="JOM3" s="525"/>
      <c r="JON3" s="525"/>
      <c r="JOO3" s="525"/>
      <c r="JOP3" s="525"/>
      <c r="JOQ3" s="525"/>
      <c r="JOR3" s="525"/>
      <c r="JOS3" s="525"/>
      <c r="JOT3" s="525"/>
      <c r="JOU3" s="525"/>
      <c r="JOV3" s="525"/>
      <c r="JOW3" s="525"/>
      <c r="JOX3" s="525"/>
      <c r="JOY3" s="525"/>
      <c r="JOZ3" s="525"/>
      <c r="JPA3" s="525"/>
      <c r="JPB3" s="525"/>
      <c r="JPC3" s="525"/>
      <c r="JPD3" s="525"/>
      <c r="JPE3" s="525"/>
      <c r="JPF3" s="525"/>
      <c r="JPG3" s="525"/>
      <c r="JPH3" s="525"/>
      <c r="JPI3" s="525"/>
      <c r="JPJ3" s="525"/>
      <c r="JPK3" s="525"/>
      <c r="JPL3" s="525"/>
      <c r="JPM3" s="525"/>
      <c r="JPN3" s="525"/>
      <c r="JPO3" s="525"/>
      <c r="JPP3" s="525"/>
      <c r="JPQ3" s="525"/>
      <c r="JPR3" s="525"/>
      <c r="JPS3" s="525"/>
      <c r="JPT3" s="525"/>
      <c r="JPU3" s="525"/>
      <c r="JPV3" s="525"/>
      <c r="JPW3" s="525"/>
      <c r="JPX3" s="525"/>
      <c r="JPY3" s="525"/>
      <c r="JPZ3" s="525"/>
      <c r="JQA3" s="525"/>
      <c r="JQB3" s="525"/>
      <c r="JQC3" s="525"/>
      <c r="JQD3" s="525"/>
      <c r="JQE3" s="525"/>
      <c r="JQF3" s="525"/>
      <c r="JQG3" s="525"/>
      <c r="JQH3" s="525"/>
      <c r="JQI3" s="525"/>
      <c r="JQJ3" s="525"/>
      <c r="JQK3" s="525"/>
      <c r="JQL3" s="525"/>
      <c r="JQM3" s="525"/>
      <c r="JQN3" s="525"/>
      <c r="JQO3" s="525"/>
      <c r="JQP3" s="525"/>
      <c r="JQQ3" s="525"/>
      <c r="JQR3" s="525"/>
      <c r="JQS3" s="525"/>
      <c r="JQT3" s="525"/>
      <c r="JQU3" s="525"/>
      <c r="JQV3" s="525"/>
      <c r="JQW3" s="525"/>
      <c r="JQX3" s="525"/>
      <c r="JQY3" s="525"/>
      <c r="JQZ3" s="525"/>
      <c r="JRA3" s="525"/>
      <c r="JRB3" s="525"/>
      <c r="JRC3" s="525"/>
      <c r="JRD3" s="525"/>
      <c r="JRE3" s="525"/>
      <c r="JRF3" s="525"/>
      <c r="JRG3" s="525"/>
      <c r="JRH3" s="525"/>
      <c r="JRI3" s="525"/>
      <c r="JRJ3" s="525"/>
      <c r="JRK3" s="525"/>
      <c r="JRL3" s="525"/>
      <c r="JRM3" s="525"/>
      <c r="JRN3" s="525"/>
      <c r="JRO3" s="525"/>
      <c r="JRP3" s="525"/>
      <c r="JRQ3" s="525"/>
      <c r="JRR3" s="525"/>
      <c r="JRS3" s="525"/>
      <c r="JRT3" s="525"/>
      <c r="JRU3" s="525"/>
      <c r="JRV3" s="525"/>
      <c r="JRW3" s="525"/>
      <c r="JRX3" s="525"/>
      <c r="JRY3" s="525"/>
      <c r="JRZ3" s="525"/>
      <c r="JSA3" s="525"/>
      <c r="JSB3" s="525"/>
      <c r="JSC3" s="525"/>
      <c r="JSD3" s="525"/>
      <c r="JSE3" s="525"/>
      <c r="JSF3" s="525"/>
      <c r="JSG3" s="525"/>
      <c r="JSH3" s="525"/>
      <c r="JSI3" s="525"/>
      <c r="JSJ3" s="525"/>
      <c r="JSK3" s="525"/>
      <c r="JSL3" s="525"/>
      <c r="JSM3" s="525"/>
      <c r="JSN3" s="525"/>
      <c r="JSO3" s="525"/>
      <c r="JSP3" s="525"/>
      <c r="JSQ3" s="525"/>
      <c r="JSR3" s="525"/>
      <c r="JSS3" s="525"/>
      <c r="JST3" s="525"/>
      <c r="JSU3" s="525"/>
      <c r="JSV3" s="525"/>
      <c r="JSW3" s="525"/>
      <c r="JSX3" s="525"/>
      <c r="JSY3" s="525"/>
      <c r="JSZ3" s="525"/>
      <c r="JTA3" s="525"/>
      <c r="JTB3" s="525"/>
      <c r="JTC3" s="525"/>
      <c r="JTD3" s="525"/>
      <c r="JTE3" s="525"/>
      <c r="JTF3" s="525"/>
      <c r="JTG3" s="525"/>
      <c r="JTH3" s="525"/>
      <c r="JTI3" s="525"/>
      <c r="JTJ3" s="525"/>
      <c r="JTK3" s="525"/>
      <c r="JTL3" s="525"/>
      <c r="JTM3" s="525"/>
      <c r="JTN3" s="525"/>
      <c r="JTO3" s="525"/>
      <c r="JTP3" s="525"/>
      <c r="JTQ3" s="525"/>
      <c r="JTR3" s="525"/>
      <c r="JTS3" s="525"/>
      <c r="JTT3" s="525"/>
      <c r="JTU3" s="525"/>
      <c r="JTV3" s="525"/>
      <c r="JTW3" s="525"/>
      <c r="JTX3" s="525"/>
      <c r="JTY3" s="525"/>
      <c r="JTZ3" s="525"/>
      <c r="JUA3" s="525"/>
      <c r="JUB3" s="525"/>
      <c r="JUC3" s="525"/>
      <c r="JUD3" s="525"/>
      <c r="JUE3" s="525"/>
      <c r="JUF3" s="525"/>
      <c r="JUG3" s="525"/>
      <c r="JUH3" s="525"/>
      <c r="JUI3" s="525"/>
      <c r="JUJ3" s="525"/>
      <c r="JUK3" s="525"/>
      <c r="JUL3" s="525"/>
      <c r="JUM3" s="525"/>
      <c r="JUN3" s="525"/>
      <c r="JUO3" s="525"/>
      <c r="JUP3" s="525"/>
      <c r="JUQ3" s="525"/>
      <c r="JUR3" s="525"/>
      <c r="JUS3" s="525"/>
      <c r="JUT3" s="525"/>
      <c r="JUU3" s="525"/>
      <c r="JUV3" s="525"/>
      <c r="JUW3" s="525"/>
      <c r="JUX3" s="525"/>
      <c r="JUY3" s="525"/>
      <c r="JUZ3" s="525"/>
      <c r="JVA3" s="525"/>
      <c r="JVB3" s="525"/>
      <c r="JVC3" s="525"/>
      <c r="JVD3" s="525"/>
      <c r="JVE3" s="525"/>
      <c r="JVF3" s="525"/>
      <c r="JVG3" s="525"/>
      <c r="JVH3" s="525"/>
      <c r="JVI3" s="525"/>
      <c r="JVJ3" s="525"/>
      <c r="JVK3" s="525"/>
      <c r="JVL3" s="525"/>
      <c r="JVM3" s="525"/>
      <c r="JVN3" s="525"/>
      <c r="JVO3" s="525"/>
      <c r="JVP3" s="525"/>
      <c r="JVQ3" s="525"/>
      <c r="JVR3" s="525"/>
      <c r="JVS3" s="525"/>
      <c r="JVT3" s="525"/>
      <c r="JVU3" s="525"/>
      <c r="JVV3" s="525"/>
      <c r="JVW3" s="525"/>
      <c r="JVX3" s="525"/>
      <c r="JVY3" s="525"/>
      <c r="JVZ3" s="525"/>
      <c r="JWA3" s="525"/>
      <c r="JWB3" s="525"/>
      <c r="JWC3" s="525"/>
      <c r="JWD3" s="525"/>
      <c r="JWE3" s="525"/>
      <c r="JWF3" s="525"/>
      <c r="JWG3" s="525"/>
      <c r="JWH3" s="525"/>
      <c r="JWI3" s="525"/>
      <c r="JWJ3" s="525"/>
      <c r="JWK3" s="525"/>
      <c r="JWL3" s="525"/>
      <c r="JWM3" s="525"/>
      <c r="JWN3" s="525"/>
      <c r="JWO3" s="525"/>
      <c r="JWP3" s="525"/>
      <c r="JWQ3" s="525"/>
      <c r="JWR3" s="525"/>
      <c r="JWS3" s="525"/>
      <c r="JWT3" s="525"/>
      <c r="JWU3" s="525"/>
      <c r="JWV3" s="525"/>
      <c r="JWW3" s="525"/>
      <c r="JWX3" s="525"/>
      <c r="JWY3" s="525"/>
      <c r="JWZ3" s="525"/>
      <c r="JXA3" s="525"/>
      <c r="JXB3" s="525"/>
      <c r="JXC3" s="525"/>
      <c r="JXD3" s="525"/>
      <c r="JXE3" s="525"/>
      <c r="JXF3" s="525"/>
      <c r="JXG3" s="525"/>
      <c r="JXH3" s="525"/>
      <c r="JXI3" s="525"/>
      <c r="JXJ3" s="525"/>
      <c r="JXK3" s="525"/>
      <c r="JXL3" s="525"/>
      <c r="JXM3" s="525"/>
      <c r="JXN3" s="525"/>
      <c r="JXO3" s="525"/>
      <c r="JXP3" s="525"/>
      <c r="JXQ3" s="525"/>
      <c r="JXR3" s="525"/>
      <c r="JXS3" s="525"/>
      <c r="JXT3" s="525"/>
      <c r="JXU3" s="525"/>
      <c r="JXV3" s="525"/>
      <c r="JXW3" s="525"/>
      <c r="JXX3" s="525"/>
      <c r="JXY3" s="525"/>
      <c r="JXZ3" s="525"/>
      <c r="JYA3" s="525"/>
      <c r="JYB3" s="525"/>
      <c r="JYC3" s="525"/>
      <c r="JYD3" s="525"/>
      <c r="JYE3" s="525"/>
      <c r="JYF3" s="525"/>
      <c r="JYG3" s="525"/>
      <c r="JYH3" s="525"/>
      <c r="JYI3" s="525"/>
      <c r="JYJ3" s="525"/>
      <c r="JYK3" s="525"/>
      <c r="JYL3" s="525"/>
      <c r="JYM3" s="525"/>
      <c r="JYN3" s="525"/>
      <c r="JYO3" s="525"/>
      <c r="JYP3" s="525"/>
      <c r="JYQ3" s="525"/>
      <c r="JYR3" s="525"/>
      <c r="JYS3" s="525"/>
      <c r="JYT3" s="525"/>
      <c r="JYU3" s="525"/>
      <c r="JYV3" s="525"/>
      <c r="JYW3" s="525"/>
      <c r="JYX3" s="525"/>
      <c r="JYY3" s="525"/>
      <c r="JYZ3" s="525"/>
      <c r="JZA3" s="525"/>
      <c r="JZB3" s="525"/>
      <c r="JZC3" s="525"/>
      <c r="JZD3" s="525"/>
      <c r="JZE3" s="525"/>
      <c r="JZF3" s="525"/>
      <c r="JZG3" s="525"/>
      <c r="JZH3" s="525"/>
      <c r="JZI3" s="525"/>
      <c r="JZJ3" s="525"/>
      <c r="JZK3" s="525"/>
      <c r="JZL3" s="525"/>
      <c r="JZM3" s="525"/>
      <c r="JZN3" s="525"/>
      <c r="JZO3" s="525"/>
      <c r="JZP3" s="525"/>
      <c r="JZQ3" s="525"/>
      <c r="JZR3" s="525"/>
      <c r="JZS3" s="525"/>
      <c r="JZT3" s="525"/>
      <c r="JZU3" s="525"/>
      <c r="JZV3" s="525"/>
      <c r="JZW3" s="525"/>
      <c r="JZX3" s="525"/>
      <c r="JZY3" s="525"/>
      <c r="JZZ3" s="525"/>
      <c r="KAA3" s="525"/>
      <c r="KAB3" s="525"/>
      <c r="KAC3" s="525"/>
      <c r="KAD3" s="525"/>
      <c r="KAE3" s="525"/>
      <c r="KAF3" s="525"/>
      <c r="KAG3" s="525"/>
      <c r="KAH3" s="525"/>
      <c r="KAI3" s="525"/>
      <c r="KAJ3" s="525"/>
      <c r="KAK3" s="525"/>
      <c r="KAL3" s="525"/>
      <c r="KAM3" s="525"/>
      <c r="KAN3" s="525"/>
      <c r="KAO3" s="525"/>
      <c r="KAP3" s="525"/>
      <c r="KAQ3" s="525"/>
      <c r="KAR3" s="525"/>
      <c r="KAS3" s="525"/>
      <c r="KAT3" s="525"/>
      <c r="KAU3" s="525"/>
      <c r="KAV3" s="525"/>
      <c r="KAW3" s="525"/>
      <c r="KAX3" s="525"/>
      <c r="KAY3" s="525"/>
      <c r="KAZ3" s="525"/>
      <c r="KBA3" s="525"/>
      <c r="KBB3" s="525"/>
      <c r="KBC3" s="525"/>
      <c r="KBD3" s="525"/>
      <c r="KBE3" s="525"/>
      <c r="KBF3" s="525"/>
      <c r="KBG3" s="525"/>
      <c r="KBH3" s="525"/>
      <c r="KBI3" s="525"/>
      <c r="KBJ3" s="525"/>
      <c r="KBK3" s="525"/>
      <c r="KBL3" s="525"/>
      <c r="KBM3" s="525"/>
      <c r="KBN3" s="525"/>
      <c r="KBO3" s="525"/>
      <c r="KBP3" s="525"/>
      <c r="KBQ3" s="525"/>
      <c r="KBR3" s="525"/>
      <c r="KBS3" s="525"/>
      <c r="KBT3" s="525"/>
      <c r="KBU3" s="525"/>
      <c r="KBV3" s="525"/>
      <c r="KBW3" s="525"/>
      <c r="KBX3" s="525"/>
      <c r="KBY3" s="525"/>
      <c r="KBZ3" s="525"/>
      <c r="KCA3" s="525"/>
      <c r="KCB3" s="525"/>
      <c r="KCC3" s="525"/>
      <c r="KCD3" s="525"/>
      <c r="KCE3" s="525"/>
      <c r="KCF3" s="525"/>
      <c r="KCG3" s="525"/>
      <c r="KCH3" s="525"/>
      <c r="KCI3" s="525"/>
      <c r="KCJ3" s="525"/>
      <c r="KCK3" s="525"/>
      <c r="KCL3" s="525"/>
      <c r="KCM3" s="525"/>
      <c r="KCN3" s="525"/>
      <c r="KCO3" s="525"/>
      <c r="KCP3" s="525"/>
      <c r="KCQ3" s="525"/>
      <c r="KCR3" s="525"/>
      <c r="KCS3" s="525"/>
      <c r="KCT3" s="525"/>
      <c r="KCU3" s="525"/>
      <c r="KCV3" s="525"/>
      <c r="KCW3" s="525"/>
      <c r="KCX3" s="525"/>
      <c r="KCY3" s="525"/>
      <c r="KCZ3" s="525"/>
      <c r="KDA3" s="525"/>
      <c r="KDB3" s="525"/>
      <c r="KDC3" s="525"/>
      <c r="KDD3" s="525"/>
      <c r="KDE3" s="525"/>
      <c r="KDF3" s="525"/>
      <c r="KDG3" s="525"/>
      <c r="KDH3" s="525"/>
      <c r="KDI3" s="525"/>
      <c r="KDJ3" s="525"/>
      <c r="KDK3" s="525"/>
      <c r="KDL3" s="525"/>
      <c r="KDM3" s="525"/>
      <c r="KDN3" s="525"/>
      <c r="KDO3" s="525"/>
      <c r="KDP3" s="525"/>
      <c r="KDQ3" s="525"/>
      <c r="KDR3" s="525"/>
      <c r="KDS3" s="525"/>
      <c r="KDT3" s="525"/>
      <c r="KDU3" s="525"/>
      <c r="KDV3" s="525"/>
      <c r="KDW3" s="525"/>
      <c r="KDX3" s="525"/>
      <c r="KDY3" s="525"/>
      <c r="KDZ3" s="525"/>
      <c r="KEA3" s="525"/>
      <c r="KEB3" s="525"/>
      <c r="KEC3" s="525"/>
      <c r="KED3" s="525"/>
      <c r="KEE3" s="525"/>
      <c r="KEF3" s="525"/>
      <c r="KEG3" s="525"/>
      <c r="KEH3" s="525"/>
      <c r="KEI3" s="525"/>
      <c r="KEJ3" s="525"/>
      <c r="KEK3" s="525"/>
      <c r="KEL3" s="525"/>
      <c r="KEM3" s="525"/>
      <c r="KEN3" s="525"/>
      <c r="KEO3" s="525"/>
      <c r="KEP3" s="525"/>
      <c r="KEQ3" s="525"/>
      <c r="KER3" s="525"/>
      <c r="KES3" s="525"/>
      <c r="KET3" s="525"/>
      <c r="KEU3" s="525"/>
      <c r="KEV3" s="525"/>
      <c r="KEW3" s="525"/>
      <c r="KEX3" s="525"/>
      <c r="KEY3" s="525"/>
      <c r="KEZ3" s="525"/>
      <c r="KFA3" s="525"/>
      <c r="KFB3" s="525"/>
      <c r="KFC3" s="525"/>
      <c r="KFD3" s="525"/>
      <c r="KFE3" s="525"/>
      <c r="KFF3" s="525"/>
      <c r="KFG3" s="525"/>
      <c r="KFH3" s="525"/>
      <c r="KFI3" s="525"/>
      <c r="KFJ3" s="525"/>
      <c r="KFK3" s="525"/>
      <c r="KFL3" s="525"/>
      <c r="KFM3" s="525"/>
      <c r="KFN3" s="525"/>
      <c r="KFO3" s="525"/>
      <c r="KFP3" s="525"/>
      <c r="KFQ3" s="525"/>
      <c r="KFR3" s="525"/>
      <c r="KFS3" s="525"/>
      <c r="KFT3" s="525"/>
      <c r="KFU3" s="525"/>
      <c r="KFV3" s="525"/>
      <c r="KFW3" s="525"/>
      <c r="KFX3" s="525"/>
      <c r="KFY3" s="525"/>
      <c r="KFZ3" s="525"/>
      <c r="KGA3" s="525"/>
      <c r="KGB3" s="525"/>
      <c r="KGC3" s="525"/>
      <c r="KGD3" s="525"/>
      <c r="KGE3" s="525"/>
      <c r="KGF3" s="525"/>
      <c r="KGG3" s="525"/>
      <c r="KGH3" s="525"/>
      <c r="KGI3" s="525"/>
      <c r="KGJ3" s="525"/>
      <c r="KGK3" s="525"/>
      <c r="KGL3" s="525"/>
      <c r="KGM3" s="525"/>
      <c r="KGN3" s="525"/>
      <c r="KGO3" s="525"/>
      <c r="KGP3" s="525"/>
      <c r="KGQ3" s="525"/>
      <c r="KGR3" s="525"/>
      <c r="KGS3" s="525"/>
      <c r="KGT3" s="525"/>
      <c r="KGU3" s="525"/>
      <c r="KGV3" s="525"/>
      <c r="KGW3" s="525"/>
      <c r="KGX3" s="525"/>
      <c r="KGY3" s="525"/>
      <c r="KGZ3" s="525"/>
      <c r="KHA3" s="525"/>
      <c r="KHB3" s="525"/>
      <c r="KHC3" s="525"/>
      <c r="KHD3" s="525"/>
      <c r="KHE3" s="525"/>
      <c r="KHF3" s="525"/>
      <c r="KHG3" s="525"/>
      <c r="KHH3" s="525"/>
      <c r="KHI3" s="525"/>
      <c r="KHJ3" s="525"/>
      <c r="KHK3" s="525"/>
      <c r="KHL3" s="525"/>
      <c r="KHM3" s="525"/>
      <c r="KHN3" s="525"/>
      <c r="KHO3" s="525"/>
      <c r="KHP3" s="525"/>
      <c r="KHQ3" s="525"/>
      <c r="KHR3" s="525"/>
      <c r="KHS3" s="525"/>
      <c r="KHT3" s="525"/>
      <c r="KHU3" s="525"/>
      <c r="KHV3" s="525"/>
      <c r="KHW3" s="525"/>
      <c r="KHX3" s="525"/>
      <c r="KHY3" s="525"/>
      <c r="KHZ3" s="525"/>
      <c r="KIA3" s="525"/>
      <c r="KIB3" s="525"/>
      <c r="KIC3" s="525"/>
      <c r="KID3" s="525"/>
      <c r="KIE3" s="525"/>
      <c r="KIF3" s="525"/>
      <c r="KIG3" s="525"/>
      <c r="KIH3" s="525"/>
      <c r="KII3" s="525"/>
      <c r="KIJ3" s="525"/>
      <c r="KIK3" s="525"/>
      <c r="KIL3" s="525"/>
      <c r="KIM3" s="525"/>
      <c r="KIN3" s="525"/>
      <c r="KIO3" s="525"/>
      <c r="KIP3" s="525"/>
      <c r="KIQ3" s="525"/>
      <c r="KIR3" s="525"/>
      <c r="KIS3" s="525"/>
      <c r="KIT3" s="525"/>
      <c r="KIU3" s="525"/>
      <c r="KIV3" s="525"/>
      <c r="KIW3" s="525"/>
      <c r="KIX3" s="525"/>
      <c r="KIY3" s="525"/>
      <c r="KIZ3" s="525"/>
      <c r="KJA3" s="525"/>
      <c r="KJB3" s="525"/>
      <c r="KJC3" s="525"/>
      <c r="KJD3" s="525"/>
      <c r="KJE3" s="525"/>
      <c r="KJF3" s="525"/>
      <c r="KJG3" s="525"/>
      <c r="KJH3" s="525"/>
      <c r="KJI3" s="525"/>
      <c r="KJJ3" s="525"/>
      <c r="KJK3" s="525"/>
      <c r="KJL3" s="525"/>
      <c r="KJM3" s="525"/>
      <c r="KJN3" s="525"/>
      <c r="KJO3" s="525"/>
      <c r="KJP3" s="525"/>
      <c r="KJQ3" s="525"/>
      <c r="KJR3" s="525"/>
      <c r="KJS3" s="525"/>
      <c r="KJT3" s="525"/>
      <c r="KJU3" s="525"/>
      <c r="KJV3" s="525"/>
      <c r="KJW3" s="525"/>
      <c r="KJX3" s="525"/>
      <c r="KJY3" s="525"/>
      <c r="KJZ3" s="525"/>
      <c r="KKA3" s="525"/>
      <c r="KKB3" s="525"/>
      <c r="KKC3" s="525"/>
      <c r="KKD3" s="525"/>
      <c r="KKE3" s="525"/>
      <c r="KKF3" s="525"/>
      <c r="KKG3" s="525"/>
      <c r="KKH3" s="525"/>
      <c r="KKI3" s="525"/>
      <c r="KKJ3" s="525"/>
      <c r="KKK3" s="525"/>
      <c r="KKL3" s="525"/>
      <c r="KKM3" s="525"/>
      <c r="KKN3" s="525"/>
      <c r="KKO3" s="525"/>
      <c r="KKP3" s="525"/>
      <c r="KKQ3" s="525"/>
      <c r="KKR3" s="525"/>
      <c r="KKS3" s="525"/>
      <c r="KKT3" s="525"/>
      <c r="KKU3" s="525"/>
      <c r="KKV3" s="525"/>
      <c r="KKW3" s="525"/>
      <c r="KKX3" s="525"/>
      <c r="KKY3" s="525"/>
      <c r="KKZ3" s="525"/>
      <c r="KLA3" s="525"/>
      <c r="KLB3" s="525"/>
      <c r="KLC3" s="525"/>
      <c r="KLD3" s="525"/>
      <c r="KLE3" s="525"/>
      <c r="KLF3" s="525"/>
      <c r="KLG3" s="525"/>
      <c r="KLH3" s="525"/>
      <c r="KLI3" s="525"/>
      <c r="KLJ3" s="525"/>
      <c r="KLK3" s="525"/>
      <c r="KLL3" s="525"/>
      <c r="KLM3" s="525"/>
      <c r="KLN3" s="525"/>
      <c r="KLO3" s="525"/>
      <c r="KLP3" s="525"/>
      <c r="KLQ3" s="525"/>
      <c r="KLR3" s="525"/>
      <c r="KLS3" s="525"/>
      <c r="KLT3" s="525"/>
      <c r="KLU3" s="525"/>
      <c r="KLV3" s="525"/>
      <c r="KLW3" s="525"/>
      <c r="KLX3" s="525"/>
      <c r="KLY3" s="525"/>
      <c r="KLZ3" s="525"/>
      <c r="KMA3" s="525"/>
      <c r="KMB3" s="525"/>
      <c r="KMC3" s="525"/>
      <c r="KMD3" s="525"/>
      <c r="KME3" s="525"/>
      <c r="KMF3" s="525"/>
      <c r="KMG3" s="525"/>
      <c r="KMH3" s="525"/>
      <c r="KMI3" s="525"/>
      <c r="KMJ3" s="525"/>
      <c r="KMK3" s="525"/>
      <c r="KML3" s="525"/>
      <c r="KMM3" s="525"/>
      <c r="KMN3" s="525"/>
      <c r="KMO3" s="525"/>
      <c r="KMP3" s="525"/>
      <c r="KMQ3" s="525"/>
      <c r="KMR3" s="525"/>
      <c r="KMS3" s="525"/>
      <c r="KMT3" s="525"/>
      <c r="KMU3" s="525"/>
      <c r="KMV3" s="525"/>
      <c r="KMW3" s="525"/>
      <c r="KMX3" s="525"/>
      <c r="KMY3" s="525"/>
      <c r="KMZ3" s="525"/>
      <c r="KNA3" s="525"/>
      <c r="KNB3" s="525"/>
      <c r="KNC3" s="525"/>
      <c r="KND3" s="525"/>
      <c r="KNE3" s="525"/>
      <c r="KNF3" s="525"/>
      <c r="KNG3" s="525"/>
      <c r="KNH3" s="525"/>
      <c r="KNI3" s="525"/>
      <c r="KNJ3" s="525"/>
      <c r="KNK3" s="525"/>
      <c r="KNL3" s="525"/>
      <c r="KNM3" s="525"/>
      <c r="KNN3" s="525"/>
      <c r="KNO3" s="525"/>
      <c r="KNP3" s="525"/>
      <c r="KNQ3" s="525"/>
      <c r="KNR3" s="525"/>
      <c r="KNS3" s="525"/>
      <c r="KNT3" s="525"/>
      <c r="KNU3" s="525"/>
      <c r="KNV3" s="525"/>
      <c r="KNW3" s="525"/>
      <c r="KNX3" s="525"/>
      <c r="KNY3" s="525"/>
      <c r="KNZ3" s="525"/>
      <c r="KOA3" s="525"/>
      <c r="KOB3" s="525"/>
      <c r="KOC3" s="525"/>
      <c r="KOD3" s="525"/>
      <c r="KOE3" s="525"/>
      <c r="KOF3" s="525"/>
      <c r="KOG3" s="525"/>
      <c r="KOH3" s="525"/>
      <c r="KOI3" s="525"/>
      <c r="KOJ3" s="525"/>
      <c r="KOK3" s="525"/>
      <c r="KOL3" s="525"/>
      <c r="KOM3" s="525"/>
      <c r="KON3" s="525"/>
      <c r="KOO3" s="525"/>
      <c r="KOP3" s="525"/>
      <c r="KOQ3" s="525"/>
      <c r="KOR3" s="525"/>
      <c r="KOS3" s="525"/>
      <c r="KOT3" s="525"/>
      <c r="KOU3" s="525"/>
      <c r="KOV3" s="525"/>
      <c r="KOW3" s="525"/>
      <c r="KOX3" s="525"/>
      <c r="KOY3" s="525"/>
      <c r="KOZ3" s="525"/>
      <c r="KPA3" s="525"/>
      <c r="KPB3" s="525"/>
      <c r="KPC3" s="525"/>
      <c r="KPD3" s="525"/>
      <c r="KPE3" s="525"/>
      <c r="KPF3" s="525"/>
      <c r="KPG3" s="525"/>
      <c r="KPH3" s="525"/>
      <c r="KPI3" s="525"/>
      <c r="KPJ3" s="525"/>
      <c r="KPK3" s="525"/>
      <c r="KPL3" s="525"/>
      <c r="KPM3" s="525"/>
      <c r="KPN3" s="525"/>
      <c r="KPO3" s="525"/>
      <c r="KPP3" s="525"/>
      <c r="KPQ3" s="525"/>
      <c r="KPR3" s="525"/>
      <c r="KPS3" s="525"/>
      <c r="KPT3" s="525"/>
      <c r="KPU3" s="525"/>
      <c r="KPV3" s="525"/>
      <c r="KPW3" s="525"/>
      <c r="KPX3" s="525"/>
      <c r="KPY3" s="525"/>
      <c r="KPZ3" s="525"/>
      <c r="KQA3" s="525"/>
      <c r="KQB3" s="525"/>
      <c r="KQC3" s="525"/>
      <c r="KQD3" s="525"/>
      <c r="KQE3" s="525"/>
      <c r="KQF3" s="525"/>
      <c r="KQG3" s="525"/>
      <c r="KQH3" s="525"/>
      <c r="KQI3" s="525"/>
      <c r="KQJ3" s="525"/>
      <c r="KQK3" s="525"/>
      <c r="KQL3" s="525"/>
      <c r="KQM3" s="525"/>
      <c r="KQN3" s="525"/>
      <c r="KQO3" s="525"/>
      <c r="KQP3" s="525"/>
      <c r="KQQ3" s="525"/>
      <c r="KQR3" s="525"/>
      <c r="KQS3" s="525"/>
      <c r="KQT3" s="525"/>
      <c r="KQU3" s="525"/>
      <c r="KQV3" s="525"/>
      <c r="KQW3" s="525"/>
      <c r="KQX3" s="525"/>
      <c r="KQY3" s="525"/>
      <c r="KQZ3" s="525"/>
      <c r="KRA3" s="525"/>
      <c r="KRB3" s="525"/>
      <c r="KRC3" s="525"/>
      <c r="KRD3" s="525"/>
      <c r="KRE3" s="525"/>
      <c r="KRF3" s="525"/>
      <c r="KRG3" s="525"/>
      <c r="KRH3" s="525"/>
      <c r="KRI3" s="525"/>
      <c r="KRJ3" s="525"/>
      <c r="KRK3" s="525"/>
      <c r="KRL3" s="525"/>
      <c r="KRM3" s="525"/>
      <c r="KRN3" s="525"/>
      <c r="KRO3" s="525"/>
      <c r="KRP3" s="525"/>
      <c r="KRQ3" s="525"/>
      <c r="KRR3" s="525"/>
      <c r="KRS3" s="525"/>
      <c r="KRT3" s="525"/>
      <c r="KRU3" s="525"/>
      <c r="KRV3" s="525"/>
      <c r="KRW3" s="525"/>
      <c r="KRX3" s="525"/>
      <c r="KRY3" s="525"/>
      <c r="KRZ3" s="525"/>
      <c r="KSA3" s="525"/>
      <c r="KSB3" s="525"/>
      <c r="KSC3" s="525"/>
      <c r="KSD3" s="525"/>
      <c r="KSE3" s="525"/>
      <c r="KSF3" s="525"/>
      <c r="KSG3" s="525"/>
      <c r="KSH3" s="525"/>
      <c r="KSI3" s="525"/>
      <c r="KSJ3" s="525"/>
      <c r="KSK3" s="525"/>
      <c r="KSL3" s="525"/>
      <c r="KSM3" s="525"/>
      <c r="KSN3" s="525"/>
      <c r="KSO3" s="525"/>
      <c r="KSP3" s="525"/>
      <c r="KSQ3" s="525"/>
      <c r="KSR3" s="525"/>
      <c r="KSS3" s="525"/>
      <c r="KST3" s="525"/>
      <c r="KSU3" s="525"/>
      <c r="KSV3" s="525"/>
      <c r="KSW3" s="525"/>
      <c r="KSX3" s="525"/>
      <c r="KSY3" s="525"/>
      <c r="KSZ3" s="525"/>
      <c r="KTA3" s="525"/>
      <c r="KTB3" s="525"/>
      <c r="KTC3" s="525"/>
      <c r="KTD3" s="525"/>
      <c r="KTE3" s="525"/>
      <c r="KTF3" s="525"/>
      <c r="KTG3" s="525"/>
      <c r="KTH3" s="525"/>
      <c r="KTI3" s="525"/>
      <c r="KTJ3" s="525"/>
      <c r="KTK3" s="525"/>
      <c r="KTL3" s="525"/>
      <c r="KTM3" s="525"/>
      <c r="KTN3" s="525"/>
      <c r="KTO3" s="525"/>
      <c r="KTP3" s="525"/>
      <c r="KTQ3" s="525"/>
      <c r="KTR3" s="525"/>
      <c r="KTS3" s="525"/>
      <c r="KTT3" s="525"/>
      <c r="KTU3" s="525"/>
      <c r="KTV3" s="525"/>
      <c r="KTW3" s="525"/>
      <c r="KTX3" s="525"/>
      <c r="KTY3" s="525"/>
      <c r="KTZ3" s="525"/>
      <c r="KUA3" s="525"/>
      <c r="KUB3" s="525"/>
      <c r="KUC3" s="525"/>
      <c r="KUD3" s="525"/>
      <c r="KUE3" s="525"/>
      <c r="KUF3" s="525"/>
      <c r="KUG3" s="525"/>
      <c r="KUH3" s="525"/>
      <c r="KUI3" s="525"/>
      <c r="KUJ3" s="525"/>
      <c r="KUK3" s="525"/>
      <c r="KUL3" s="525"/>
      <c r="KUM3" s="525"/>
      <c r="KUN3" s="525"/>
      <c r="KUO3" s="525"/>
      <c r="KUP3" s="525"/>
      <c r="KUQ3" s="525"/>
      <c r="KUR3" s="525"/>
      <c r="KUS3" s="525"/>
      <c r="KUT3" s="525"/>
      <c r="KUU3" s="525"/>
      <c r="KUV3" s="525"/>
      <c r="KUW3" s="525"/>
      <c r="KUX3" s="525"/>
      <c r="KUY3" s="525"/>
      <c r="KUZ3" s="525"/>
      <c r="KVA3" s="525"/>
      <c r="KVB3" s="525"/>
      <c r="KVC3" s="525"/>
      <c r="KVD3" s="525"/>
      <c r="KVE3" s="525"/>
      <c r="KVF3" s="525"/>
      <c r="KVG3" s="525"/>
      <c r="KVH3" s="525"/>
      <c r="KVI3" s="525"/>
      <c r="KVJ3" s="525"/>
      <c r="KVK3" s="525"/>
      <c r="KVL3" s="525"/>
      <c r="KVM3" s="525"/>
      <c r="KVN3" s="525"/>
      <c r="KVO3" s="525"/>
      <c r="KVP3" s="525"/>
      <c r="KVQ3" s="525"/>
      <c r="KVR3" s="525"/>
      <c r="KVS3" s="525"/>
      <c r="KVT3" s="525"/>
      <c r="KVU3" s="525"/>
      <c r="KVV3" s="525"/>
      <c r="KVW3" s="525"/>
      <c r="KVX3" s="525"/>
      <c r="KVY3" s="525"/>
      <c r="KVZ3" s="525"/>
      <c r="KWA3" s="525"/>
      <c r="KWB3" s="525"/>
      <c r="KWC3" s="525"/>
      <c r="KWD3" s="525"/>
      <c r="KWE3" s="525"/>
      <c r="KWF3" s="525"/>
      <c r="KWG3" s="525"/>
      <c r="KWH3" s="525"/>
      <c r="KWI3" s="525"/>
      <c r="KWJ3" s="525"/>
      <c r="KWK3" s="525"/>
      <c r="KWL3" s="525"/>
      <c r="KWM3" s="525"/>
      <c r="KWN3" s="525"/>
      <c r="KWO3" s="525"/>
      <c r="KWP3" s="525"/>
      <c r="KWQ3" s="525"/>
      <c r="KWR3" s="525"/>
      <c r="KWS3" s="525"/>
      <c r="KWT3" s="525"/>
      <c r="KWU3" s="525"/>
      <c r="KWV3" s="525"/>
      <c r="KWW3" s="525"/>
      <c r="KWX3" s="525"/>
      <c r="KWY3" s="525"/>
      <c r="KWZ3" s="525"/>
      <c r="KXA3" s="525"/>
      <c r="KXB3" s="525"/>
      <c r="KXC3" s="525"/>
      <c r="KXD3" s="525"/>
      <c r="KXE3" s="525"/>
      <c r="KXF3" s="525"/>
      <c r="KXG3" s="525"/>
      <c r="KXH3" s="525"/>
      <c r="KXI3" s="525"/>
      <c r="KXJ3" s="525"/>
      <c r="KXK3" s="525"/>
      <c r="KXL3" s="525"/>
      <c r="KXM3" s="525"/>
      <c r="KXN3" s="525"/>
      <c r="KXO3" s="525"/>
      <c r="KXP3" s="525"/>
      <c r="KXQ3" s="525"/>
      <c r="KXR3" s="525"/>
      <c r="KXS3" s="525"/>
      <c r="KXT3" s="525"/>
      <c r="KXU3" s="525"/>
      <c r="KXV3" s="525"/>
      <c r="KXW3" s="525"/>
      <c r="KXX3" s="525"/>
      <c r="KXY3" s="525"/>
      <c r="KXZ3" s="525"/>
      <c r="KYA3" s="525"/>
      <c r="KYB3" s="525"/>
      <c r="KYC3" s="525"/>
      <c r="KYD3" s="525"/>
      <c r="KYE3" s="525"/>
      <c r="KYF3" s="525"/>
      <c r="KYG3" s="525"/>
      <c r="KYH3" s="525"/>
      <c r="KYI3" s="525"/>
      <c r="KYJ3" s="525"/>
      <c r="KYK3" s="525"/>
      <c r="KYL3" s="525"/>
      <c r="KYM3" s="525"/>
      <c r="KYN3" s="525"/>
      <c r="KYO3" s="525"/>
      <c r="KYP3" s="525"/>
      <c r="KYQ3" s="525"/>
      <c r="KYR3" s="525"/>
      <c r="KYS3" s="525"/>
      <c r="KYT3" s="525"/>
      <c r="KYU3" s="525"/>
      <c r="KYV3" s="525"/>
      <c r="KYW3" s="525"/>
      <c r="KYX3" s="525"/>
      <c r="KYY3" s="525"/>
      <c r="KYZ3" s="525"/>
      <c r="KZA3" s="525"/>
      <c r="KZB3" s="525"/>
      <c r="KZC3" s="525"/>
      <c r="KZD3" s="525"/>
      <c r="KZE3" s="525"/>
      <c r="KZF3" s="525"/>
      <c r="KZG3" s="525"/>
      <c r="KZH3" s="525"/>
      <c r="KZI3" s="525"/>
      <c r="KZJ3" s="525"/>
      <c r="KZK3" s="525"/>
      <c r="KZL3" s="525"/>
      <c r="KZM3" s="525"/>
      <c r="KZN3" s="525"/>
      <c r="KZO3" s="525"/>
      <c r="KZP3" s="525"/>
      <c r="KZQ3" s="525"/>
      <c r="KZR3" s="525"/>
      <c r="KZS3" s="525"/>
      <c r="KZT3" s="525"/>
      <c r="KZU3" s="525"/>
      <c r="KZV3" s="525"/>
      <c r="KZW3" s="525"/>
      <c r="KZX3" s="525"/>
      <c r="KZY3" s="525"/>
      <c r="KZZ3" s="525"/>
      <c r="LAA3" s="525"/>
      <c r="LAB3" s="525"/>
      <c r="LAC3" s="525"/>
      <c r="LAD3" s="525"/>
      <c r="LAE3" s="525"/>
      <c r="LAF3" s="525"/>
      <c r="LAG3" s="525"/>
      <c r="LAH3" s="525"/>
      <c r="LAI3" s="525"/>
      <c r="LAJ3" s="525"/>
      <c r="LAK3" s="525"/>
      <c r="LAL3" s="525"/>
      <c r="LAM3" s="525"/>
      <c r="LAN3" s="525"/>
      <c r="LAO3" s="525"/>
      <c r="LAP3" s="525"/>
      <c r="LAQ3" s="525"/>
      <c r="LAR3" s="525"/>
      <c r="LAS3" s="525"/>
      <c r="LAT3" s="525"/>
      <c r="LAU3" s="525"/>
      <c r="LAV3" s="525"/>
      <c r="LAW3" s="525"/>
      <c r="LAX3" s="525"/>
      <c r="LAY3" s="525"/>
      <c r="LAZ3" s="525"/>
      <c r="LBA3" s="525"/>
      <c r="LBB3" s="525"/>
      <c r="LBC3" s="525"/>
      <c r="LBD3" s="525"/>
      <c r="LBE3" s="525"/>
      <c r="LBF3" s="525"/>
      <c r="LBG3" s="525"/>
      <c r="LBH3" s="525"/>
      <c r="LBI3" s="525"/>
      <c r="LBJ3" s="525"/>
      <c r="LBK3" s="525"/>
      <c r="LBL3" s="525"/>
      <c r="LBM3" s="525"/>
      <c r="LBN3" s="525"/>
      <c r="LBO3" s="525"/>
      <c r="LBP3" s="525"/>
      <c r="LBQ3" s="525"/>
      <c r="LBR3" s="525"/>
      <c r="LBS3" s="525"/>
      <c r="LBT3" s="525"/>
      <c r="LBU3" s="525"/>
      <c r="LBV3" s="525"/>
      <c r="LBW3" s="525"/>
      <c r="LBX3" s="525"/>
      <c r="LBY3" s="525"/>
      <c r="LBZ3" s="525"/>
      <c r="LCA3" s="525"/>
      <c r="LCB3" s="525"/>
      <c r="LCC3" s="525"/>
      <c r="LCD3" s="525"/>
      <c r="LCE3" s="525"/>
      <c r="LCF3" s="525"/>
      <c r="LCG3" s="525"/>
      <c r="LCH3" s="525"/>
      <c r="LCI3" s="525"/>
      <c r="LCJ3" s="525"/>
      <c r="LCK3" s="525"/>
      <c r="LCL3" s="525"/>
      <c r="LCM3" s="525"/>
      <c r="LCN3" s="525"/>
      <c r="LCO3" s="525"/>
      <c r="LCP3" s="525"/>
      <c r="LCQ3" s="525"/>
      <c r="LCR3" s="525"/>
      <c r="LCS3" s="525"/>
      <c r="LCT3" s="525"/>
      <c r="LCU3" s="525"/>
      <c r="LCV3" s="525"/>
      <c r="LCW3" s="525"/>
      <c r="LCX3" s="525"/>
      <c r="LCY3" s="525"/>
      <c r="LCZ3" s="525"/>
      <c r="LDA3" s="525"/>
      <c r="LDB3" s="525"/>
      <c r="LDC3" s="525"/>
      <c r="LDD3" s="525"/>
      <c r="LDE3" s="525"/>
      <c r="LDF3" s="525"/>
      <c r="LDG3" s="525"/>
      <c r="LDH3" s="525"/>
      <c r="LDI3" s="525"/>
      <c r="LDJ3" s="525"/>
      <c r="LDK3" s="525"/>
      <c r="LDL3" s="525"/>
      <c r="LDM3" s="525"/>
      <c r="LDN3" s="525"/>
      <c r="LDO3" s="525"/>
      <c r="LDP3" s="525"/>
      <c r="LDQ3" s="525"/>
      <c r="LDR3" s="525"/>
      <c r="LDS3" s="525"/>
      <c r="LDT3" s="525"/>
      <c r="LDU3" s="525"/>
      <c r="LDV3" s="525"/>
      <c r="LDW3" s="525"/>
      <c r="LDX3" s="525"/>
      <c r="LDY3" s="525"/>
      <c r="LDZ3" s="525"/>
      <c r="LEA3" s="525"/>
      <c r="LEB3" s="525"/>
      <c r="LEC3" s="525"/>
      <c r="LED3" s="525"/>
      <c r="LEE3" s="525"/>
      <c r="LEF3" s="525"/>
      <c r="LEG3" s="525"/>
      <c r="LEH3" s="525"/>
      <c r="LEI3" s="525"/>
      <c r="LEJ3" s="525"/>
      <c r="LEK3" s="525"/>
      <c r="LEL3" s="525"/>
      <c r="LEM3" s="525"/>
      <c r="LEN3" s="525"/>
      <c r="LEO3" s="525"/>
      <c r="LEP3" s="525"/>
      <c r="LEQ3" s="525"/>
      <c r="LER3" s="525"/>
      <c r="LES3" s="525"/>
      <c r="LET3" s="525"/>
      <c r="LEU3" s="525"/>
      <c r="LEV3" s="525"/>
      <c r="LEW3" s="525"/>
      <c r="LEX3" s="525"/>
      <c r="LEY3" s="525"/>
      <c r="LEZ3" s="525"/>
      <c r="LFA3" s="525"/>
      <c r="LFB3" s="525"/>
      <c r="LFC3" s="525"/>
      <c r="LFD3" s="525"/>
      <c r="LFE3" s="525"/>
      <c r="LFF3" s="525"/>
      <c r="LFG3" s="525"/>
      <c r="LFH3" s="525"/>
      <c r="LFI3" s="525"/>
      <c r="LFJ3" s="525"/>
      <c r="LFK3" s="525"/>
      <c r="LFL3" s="525"/>
      <c r="LFM3" s="525"/>
      <c r="LFN3" s="525"/>
      <c r="LFO3" s="525"/>
      <c r="LFP3" s="525"/>
      <c r="LFQ3" s="525"/>
      <c r="LFR3" s="525"/>
      <c r="LFS3" s="525"/>
      <c r="LFT3" s="525"/>
      <c r="LFU3" s="525"/>
      <c r="LFV3" s="525"/>
      <c r="LFW3" s="525"/>
      <c r="LFX3" s="525"/>
      <c r="LFY3" s="525"/>
      <c r="LFZ3" s="525"/>
      <c r="LGA3" s="525"/>
      <c r="LGB3" s="525"/>
      <c r="LGC3" s="525"/>
      <c r="LGD3" s="525"/>
      <c r="LGE3" s="525"/>
      <c r="LGF3" s="525"/>
      <c r="LGG3" s="525"/>
      <c r="LGH3" s="525"/>
      <c r="LGI3" s="525"/>
      <c r="LGJ3" s="525"/>
      <c r="LGK3" s="525"/>
      <c r="LGL3" s="525"/>
      <c r="LGM3" s="525"/>
      <c r="LGN3" s="525"/>
      <c r="LGO3" s="525"/>
      <c r="LGP3" s="525"/>
      <c r="LGQ3" s="525"/>
      <c r="LGR3" s="525"/>
      <c r="LGS3" s="525"/>
      <c r="LGT3" s="525"/>
      <c r="LGU3" s="525"/>
      <c r="LGV3" s="525"/>
      <c r="LGW3" s="525"/>
      <c r="LGX3" s="525"/>
      <c r="LGY3" s="525"/>
      <c r="LGZ3" s="525"/>
      <c r="LHA3" s="525"/>
      <c r="LHB3" s="525"/>
      <c r="LHC3" s="525"/>
      <c r="LHD3" s="525"/>
      <c r="LHE3" s="525"/>
      <c r="LHF3" s="525"/>
      <c r="LHG3" s="525"/>
      <c r="LHH3" s="525"/>
      <c r="LHI3" s="525"/>
      <c r="LHJ3" s="525"/>
      <c r="LHK3" s="525"/>
      <c r="LHL3" s="525"/>
      <c r="LHM3" s="525"/>
      <c r="LHN3" s="525"/>
      <c r="LHO3" s="525"/>
      <c r="LHP3" s="525"/>
      <c r="LHQ3" s="525"/>
      <c r="LHR3" s="525"/>
      <c r="LHS3" s="525"/>
      <c r="LHT3" s="525"/>
      <c r="LHU3" s="525"/>
      <c r="LHV3" s="525"/>
      <c r="LHW3" s="525"/>
      <c r="LHX3" s="525"/>
      <c r="LHY3" s="525"/>
      <c r="LHZ3" s="525"/>
      <c r="LIA3" s="525"/>
      <c r="LIB3" s="525"/>
      <c r="LIC3" s="525"/>
      <c r="LID3" s="525"/>
      <c r="LIE3" s="525"/>
      <c r="LIF3" s="525"/>
      <c r="LIG3" s="525"/>
      <c r="LIH3" s="525"/>
      <c r="LII3" s="525"/>
      <c r="LIJ3" s="525"/>
      <c r="LIK3" s="525"/>
      <c r="LIL3" s="525"/>
      <c r="LIM3" s="525"/>
      <c r="LIN3" s="525"/>
      <c r="LIO3" s="525"/>
      <c r="LIP3" s="525"/>
      <c r="LIQ3" s="525"/>
      <c r="LIR3" s="525"/>
      <c r="LIS3" s="525"/>
      <c r="LIT3" s="525"/>
      <c r="LIU3" s="525"/>
      <c r="LIV3" s="525"/>
      <c r="LIW3" s="525"/>
      <c r="LIX3" s="525"/>
      <c r="LIY3" s="525"/>
      <c r="LIZ3" s="525"/>
      <c r="LJA3" s="525"/>
      <c r="LJB3" s="525"/>
      <c r="LJC3" s="525"/>
      <c r="LJD3" s="525"/>
      <c r="LJE3" s="525"/>
      <c r="LJF3" s="525"/>
      <c r="LJG3" s="525"/>
      <c r="LJH3" s="525"/>
      <c r="LJI3" s="525"/>
      <c r="LJJ3" s="525"/>
      <c r="LJK3" s="525"/>
      <c r="LJL3" s="525"/>
      <c r="LJM3" s="525"/>
      <c r="LJN3" s="525"/>
      <c r="LJO3" s="525"/>
      <c r="LJP3" s="525"/>
      <c r="LJQ3" s="525"/>
      <c r="LJR3" s="525"/>
      <c r="LJS3" s="525"/>
      <c r="LJT3" s="525"/>
      <c r="LJU3" s="525"/>
      <c r="LJV3" s="525"/>
      <c r="LJW3" s="525"/>
      <c r="LJX3" s="525"/>
      <c r="LJY3" s="525"/>
      <c r="LJZ3" s="525"/>
      <c r="LKA3" s="525"/>
      <c r="LKB3" s="525"/>
      <c r="LKC3" s="525"/>
      <c r="LKD3" s="525"/>
      <c r="LKE3" s="525"/>
      <c r="LKF3" s="525"/>
      <c r="LKG3" s="525"/>
      <c r="LKH3" s="525"/>
      <c r="LKI3" s="525"/>
      <c r="LKJ3" s="525"/>
      <c r="LKK3" s="525"/>
      <c r="LKL3" s="525"/>
      <c r="LKM3" s="525"/>
      <c r="LKN3" s="525"/>
      <c r="LKO3" s="525"/>
      <c r="LKP3" s="525"/>
      <c r="LKQ3" s="525"/>
      <c r="LKR3" s="525"/>
      <c r="LKS3" s="525"/>
      <c r="LKT3" s="525"/>
      <c r="LKU3" s="525"/>
      <c r="LKV3" s="525"/>
      <c r="LKW3" s="525"/>
      <c r="LKX3" s="525"/>
      <c r="LKY3" s="525"/>
      <c r="LKZ3" s="525"/>
      <c r="LLA3" s="525"/>
      <c r="LLB3" s="525"/>
      <c r="LLC3" s="525"/>
      <c r="LLD3" s="525"/>
      <c r="LLE3" s="525"/>
      <c r="LLF3" s="525"/>
      <c r="LLG3" s="525"/>
      <c r="LLH3" s="525"/>
      <c r="LLI3" s="525"/>
      <c r="LLJ3" s="525"/>
      <c r="LLK3" s="525"/>
      <c r="LLL3" s="525"/>
      <c r="LLM3" s="525"/>
      <c r="LLN3" s="525"/>
      <c r="LLO3" s="525"/>
      <c r="LLP3" s="525"/>
      <c r="LLQ3" s="525"/>
      <c r="LLR3" s="525"/>
      <c r="LLS3" s="525"/>
      <c r="LLT3" s="525"/>
      <c r="LLU3" s="525"/>
      <c r="LLV3" s="525"/>
      <c r="LLW3" s="525"/>
      <c r="LLX3" s="525"/>
      <c r="LLY3" s="525"/>
      <c r="LLZ3" s="525"/>
      <c r="LMA3" s="525"/>
      <c r="LMB3" s="525"/>
      <c r="LMC3" s="525"/>
      <c r="LMD3" s="525"/>
      <c r="LME3" s="525"/>
      <c r="LMF3" s="525"/>
      <c r="LMG3" s="525"/>
      <c r="LMH3" s="525"/>
      <c r="LMI3" s="525"/>
      <c r="LMJ3" s="525"/>
      <c r="LMK3" s="525"/>
      <c r="LML3" s="525"/>
      <c r="LMM3" s="525"/>
      <c r="LMN3" s="525"/>
      <c r="LMO3" s="525"/>
      <c r="LMP3" s="525"/>
      <c r="LMQ3" s="525"/>
      <c r="LMR3" s="525"/>
      <c r="LMS3" s="525"/>
      <c r="LMT3" s="525"/>
      <c r="LMU3" s="525"/>
      <c r="LMV3" s="525"/>
      <c r="LMW3" s="525"/>
      <c r="LMX3" s="525"/>
      <c r="LMY3" s="525"/>
      <c r="LMZ3" s="525"/>
      <c r="LNA3" s="525"/>
      <c r="LNB3" s="525"/>
      <c r="LNC3" s="525"/>
      <c r="LND3" s="525"/>
      <c r="LNE3" s="525"/>
      <c r="LNF3" s="525"/>
      <c r="LNG3" s="525"/>
      <c r="LNH3" s="525"/>
      <c r="LNI3" s="525"/>
      <c r="LNJ3" s="525"/>
      <c r="LNK3" s="525"/>
      <c r="LNL3" s="525"/>
      <c r="LNM3" s="525"/>
      <c r="LNN3" s="525"/>
      <c r="LNO3" s="525"/>
      <c r="LNP3" s="525"/>
      <c r="LNQ3" s="525"/>
      <c r="LNR3" s="525"/>
      <c r="LNS3" s="525"/>
      <c r="LNT3" s="525"/>
      <c r="LNU3" s="525"/>
      <c r="LNV3" s="525"/>
      <c r="LNW3" s="525"/>
      <c r="LNX3" s="525"/>
      <c r="LNY3" s="525"/>
      <c r="LNZ3" s="525"/>
      <c r="LOA3" s="525"/>
      <c r="LOB3" s="525"/>
      <c r="LOC3" s="525"/>
      <c r="LOD3" s="525"/>
      <c r="LOE3" s="525"/>
      <c r="LOF3" s="525"/>
      <c r="LOG3" s="525"/>
      <c r="LOH3" s="525"/>
      <c r="LOI3" s="525"/>
      <c r="LOJ3" s="525"/>
      <c r="LOK3" s="525"/>
      <c r="LOL3" s="525"/>
      <c r="LOM3" s="525"/>
      <c r="LON3" s="525"/>
      <c r="LOO3" s="525"/>
      <c r="LOP3" s="525"/>
      <c r="LOQ3" s="525"/>
      <c r="LOR3" s="525"/>
      <c r="LOS3" s="525"/>
      <c r="LOT3" s="525"/>
      <c r="LOU3" s="525"/>
      <c r="LOV3" s="525"/>
      <c r="LOW3" s="525"/>
      <c r="LOX3" s="525"/>
      <c r="LOY3" s="525"/>
      <c r="LOZ3" s="525"/>
      <c r="LPA3" s="525"/>
      <c r="LPB3" s="525"/>
      <c r="LPC3" s="525"/>
      <c r="LPD3" s="525"/>
      <c r="LPE3" s="525"/>
      <c r="LPF3" s="525"/>
      <c r="LPG3" s="525"/>
      <c r="LPH3" s="525"/>
      <c r="LPI3" s="525"/>
      <c r="LPJ3" s="525"/>
      <c r="LPK3" s="525"/>
      <c r="LPL3" s="525"/>
      <c r="LPM3" s="525"/>
      <c r="LPN3" s="525"/>
      <c r="LPO3" s="525"/>
      <c r="LPP3" s="525"/>
      <c r="LPQ3" s="525"/>
      <c r="LPR3" s="525"/>
      <c r="LPS3" s="525"/>
      <c r="LPT3" s="525"/>
      <c r="LPU3" s="525"/>
      <c r="LPV3" s="525"/>
      <c r="LPW3" s="525"/>
      <c r="LPX3" s="525"/>
      <c r="LPY3" s="525"/>
      <c r="LPZ3" s="525"/>
      <c r="LQA3" s="525"/>
      <c r="LQB3" s="525"/>
      <c r="LQC3" s="525"/>
      <c r="LQD3" s="525"/>
      <c r="LQE3" s="525"/>
      <c r="LQF3" s="525"/>
      <c r="LQG3" s="525"/>
      <c r="LQH3" s="525"/>
      <c r="LQI3" s="525"/>
      <c r="LQJ3" s="525"/>
      <c r="LQK3" s="525"/>
      <c r="LQL3" s="525"/>
      <c r="LQM3" s="525"/>
      <c r="LQN3" s="525"/>
      <c r="LQO3" s="525"/>
      <c r="LQP3" s="525"/>
      <c r="LQQ3" s="525"/>
      <c r="LQR3" s="525"/>
      <c r="LQS3" s="525"/>
      <c r="LQT3" s="525"/>
      <c r="LQU3" s="525"/>
      <c r="LQV3" s="525"/>
      <c r="LQW3" s="525"/>
      <c r="LQX3" s="525"/>
      <c r="LQY3" s="525"/>
      <c r="LQZ3" s="525"/>
      <c r="LRA3" s="525"/>
      <c r="LRB3" s="525"/>
      <c r="LRC3" s="525"/>
      <c r="LRD3" s="525"/>
      <c r="LRE3" s="525"/>
      <c r="LRF3" s="525"/>
      <c r="LRG3" s="525"/>
      <c r="LRH3" s="525"/>
      <c r="LRI3" s="525"/>
      <c r="LRJ3" s="525"/>
      <c r="LRK3" s="525"/>
      <c r="LRL3" s="525"/>
      <c r="LRM3" s="525"/>
      <c r="LRN3" s="525"/>
      <c r="LRO3" s="525"/>
      <c r="LRP3" s="525"/>
      <c r="LRQ3" s="525"/>
      <c r="LRR3" s="525"/>
      <c r="LRS3" s="525"/>
      <c r="LRT3" s="525"/>
      <c r="LRU3" s="525"/>
      <c r="LRV3" s="525"/>
      <c r="LRW3" s="525"/>
      <c r="LRX3" s="525"/>
      <c r="LRY3" s="525"/>
      <c r="LRZ3" s="525"/>
      <c r="LSA3" s="525"/>
      <c r="LSB3" s="525"/>
      <c r="LSC3" s="525"/>
      <c r="LSD3" s="525"/>
      <c r="LSE3" s="525"/>
      <c r="LSF3" s="525"/>
      <c r="LSG3" s="525"/>
      <c r="LSH3" s="525"/>
      <c r="LSI3" s="525"/>
      <c r="LSJ3" s="525"/>
      <c r="LSK3" s="525"/>
      <c r="LSL3" s="525"/>
      <c r="LSM3" s="525"/>
      <c r="LSN3" s="525"/>
      <c r="LSO3" s="525"/>
      <c r="LSP3" s="525"/>
      <c r="LSQ3" s="525"/>
      <c r="LSR3" s="525"/>
      <c r="LSS3" s="525"/>
      <c r="LST3" s="525"/>
      <c r="LSU3" s="525"/>
      <c r="LSV3" s="525"/>
      <c r="LSW3" s="525"/>
      <c r="LSX3" s="525"/>
      <c r="LSY3" s="525"/>
      <c r="LSZ3" s="525"/>
      <c r="LTA3" s="525"/>
      <c r="LTB3" s="525"/>
      <c r="LTC3" s="525"/>
      <c r="LTD3" s="525"/>
      <c r="LTE3" s="525"/>
      <c r="LTF3" s="525"/>
      <c r="LTG3" s="525"/>
      <c r="LTH3" s="525"/>
      <c r="LTI3" s="525"/>
      <c r="LTJ3" s="525"/>
      <c r="LTK3" s="525"/>
      <c r="LTL3" s="525"/>
      <c r="LTM3" s="525"/>
      <c r="LTN3" s="525"/>
      <c r="LTO3" s="525"/>
      <c r="LTP3" s="525"/>
      <c r="LTQ3" s="525"/>
      <c r="LTR3" s="525"/>
      <c r="LTS3" s="525"/>
      <c r="LTT3" s="525"/>
      <c r="LTU3" s="525"/>
      <c r="LTV3" s="525"/>
      <c r="LTW3" s="525"/>
      <c r="LTX3" s="525"/>
      <c r="LTY3" s="525"/>
      <c r="LTZ3" s="525"/>
      <c r="LUA3" s="525"/>
      <c r="LUB3" s="525"/>
      <c r="LUC3" s="525"/>
      <c r="LUD3" s="525"/>
      <c r="LUE3" s="525"/>
      <c r="LUF3" s="525"/>
      <c r="LUG3" s="525"/>
      <c r="LUH3" s="525"/>
      <c r="LUI3" s="525"/>
      <c r="LUJ3" s="525"/>
      <c r="LUK3" s="525"/>
      <c r="LUL3" s="525"/>
      <c r="LUM3" s="525"/>
      <c r="LUN3" s="525"/>
      <c r="LUO3" s="525"/>
      <c r="LUP3" s="525"/>
      <c r="LUQ3" s="525"/>
      <c r="LUR3" s="525"/>
      <c r="LUS3" s="525"/>
      <c r="LUT3" s="525"/>
      <c r="LUU3" s="525"/>
      <c r="LUV3" s="525"/>
      <c r="LUW3" s="525"/>
      <c r="LUX3" s="525"/>
      <c r="LUY3" s="525"/>
      <c r="LUZ3" s="525"/>
      <c r="LVA3" s="525"/>
      <c r="LVB3" s="525"/>
      <c r="LVC3" s="525"/>
      <c r="LVD3" s="525"/>
      <c r="LVE3" s="525"/>
      <c r="LVF3" s="525"/>
      <c r="LVG3" s="525"/>
      <c r="LVH3" s="525"/>
      <c r="LVI3" s="525"/>
      <c r="LVJ3" s="525"/>
      <c r="LVK3" s="525"/>
      <c r="LVL3" s="525"/>
      <c r="LVM3" s="525"/>
      <c r="LVN3" s="525"/>
      <c r="LVO3" s="525"/>
      <c r="LVP3" s="525"/>
      <c r="LVQ3" s="525"/>
      <c r="LVR3" s="525"/>
      <c r="LVS3" s="525"/>
      <c r="LVT3" s="525"/>
      <c r="LVU3" s="525"/>
      <c r="LVV3" s="525"/>
      <c r="LVW3" s="525"/>
      <c r="LVX3" s="525"/>
      <c r="LVY3" s="525"/>
      <c r="LVZ3" s="525"/>
      <c r="LWA3" s="525"/>
      <c r="LWB3" s="525"/>
      <c r="LWC3" s="525"/>
      <c r="LWD3" s="525"/>
      <c r="LWE3" s="525"/>
      <c r="LWF3" s="525"/>
      <c r="LWG3" s="525"/>
      <c r="LWH3" s="525"/>
      <c r="LWI3" s="525"/>
      <c r="LWJ3" s="525"/>
      <c r="LWK3" s="525"/>
      <c r="LWL3" s="525"/>
      <c r="LWM3" s="525"/>
      <c r="LWN3" s="525"/>
      <c r="LWO3" s="525"/>
      <c r="LWP3" s="525"/>
      <c r="LWQ3" s="525"/>
      <c r="LWR3" s="525"/>
      <c r="LWS3" s="525"/>
      <c r="LWT3" s="525"/>
      <c r="LWU3" s="525"/>
      <c r="LWV3" s="525"/>
      <c r="LWW3" s="525"/>
      <c r="LWX3" s="525"/>
      <c r="LWY3" s="525"/>
      <c r="LWZ3" s="525"/>
      <c r="LXA3" s="525"/>
      <c r="LXB3" s="525"/>
      <c r="LXC3" s="525"/>
      <c r="LXD3" s="525"/>
      <c r="LXE3" s="525"/>
      <c r="LXF3" s="525"/>
      <c r="LXG3" s="525"/>
      <c r="LXH3" s="525"/>
      <c r="LXI3" s="525"/>
      <c r="LXJ3" s="525"/>
      <c r="LXK3" s="525"/>
      <c r="LXL3" s="525"/>
      <c r="LXM3" s="525"/>
      <c r="LXN3" s="525"/>
      <c r="LXO3" s="525"/>
      <c r="LXP3" s="525"/>
      <c r="LXQ3" s="525"/>
      <c r="LXR3" s="525"/>
      <c r="LXS3" s="525"/>
      <c r="LXT3" s="525"/>
      <c r="LXU3" s="525"/>
      <c r="LXV3" s="525"/>
      <c r="LXW3" s="525"/>
      <c r="LXX3" s="525"/>
      <c r="LXY3" s="525"/>
      <c r="LXZ3" s="525"/>
      <c r="LYA3" s="525"/>
      <c r="LYB3" s="525"/>
      <c r="LYC3" s="525"/>
      <c r="LYD3" s="525"/>
      <c r="LYE3" s="525"/>
      <c r="LYF3" s="525"/>
      <c r="LYG3" s="525"/>
      <c r="LYH3" s="525"/>
      <c r="LYI3" s="525"/>
      <c r="LYJ3" s="525"/>
      <c r="LYK3" s="525"/>
      <c r="LYL3" s="525"/>
      <c r="LYM3" s="525"/>
      <c r="LYN3" s="525"/>
      <c r="LYO3" s="525"/>
      <c r="LYP3" s="525"/>
      <c r="LYQ3" s="525"/>
      <c r="LYR3" s="525"/>
      <c r="LYS3" s="525"/>
      <c r="LYT3" s="525"/>
      <c r="LYU3" s="525"/>
      <c r="LYV3" s="525"/>
      <c r="LYW3" s="525"/>
      <c r="LYX3" s="525"/>
      <c r="LYY3" s="525"/>
      <c r="LYZ3" s="525"/>
      <c r="LZA3" s="525"/>
      <c r="LZB3" s="525"/>
      <c r="LZC3" s="525"/>
      <c r="LZD3" s="525"/>
      <c r="LZE3" s="525"/>
      <c r="LZF3" s="525"/>
      <c r="LZG3" s="525"/>
      <c r="LZH3" s="525"/>
      <c r="LZI3" s="525"/>
      <c r="LZJ3" s="525"/>
      <c r="LZK3" s="525"/>
      <c r="LZL3" s="525"/>
      <c r="LZM3" s="525"/>
      <c r="LZN3" s="525"/>
      <c r="LZO3" s="525"/>
      <c r="LZP3" s="525"/>
      <c r="LZQ3" s="525"/>
      <c r="LZR3" s="525"/>
      <c r="LZS3" s="525"/>
      <c r="LZT3" s="525"/>
      <c r="LZU3" s="525"/>
      <c r="LZV3" s="525"/>
      <c r="LZW3" s="525"/>
      <c r="LZX3" s="525"/>
      <c r="LZY3" s="525"/>
      <c r="LZZ3" s="525"/>
      <c r="MAA3" s="525"/>
      <c r="MAB3" s="525"/>
      <c r="MAC3" s="525"/>
      <c r="MAD3" s="525"/>
      <c r="MAE3" s="525"/>
      <c r="MAF3" s="525"/>
      <c r="MAG3" s="525"/>
      <c r="MAH3" s="525"/>
      <c r="MAI3" s="525"/>
      <c r="MAJ3" s="525"/>
      <c r="MAK3" s="525"/>
      <c r="MAL3" s="525"/>
      <c r="MAM3" s="525"/>
      <c r="MAN3" s="525"/>
      <c r="MAO3" s="525"/>
      <c r="MAP3" s="525"/>
      <c r="MAQ3" s="525"/>
      <c r="MAR3" s="525"/>
      <c r="MAS3" s="525"/>
      <c r="MAT3" s="525"/>
      <c r="MAU3" s="525"/>
      <c r="MAV3" s="525"/>
      <c r="MAW3" s="525"/>
      <c r="MAX3" s="525"/>
      <c r="MAY3" s="525"/>
      <c r="MAZ3" s="525"/>
      <c r="MBA3" s="525"/>
      <c r="MBB3" s="525"/>
      <c r="MBC3" s="525"/>
      <c r="MBD3" s="525"/>
      <c r="MBE3" s="525"/>
      <c r="MBF3" s="525"/>
      <c r="MBG3" s="525"/>
      <c r="MBH3" s="525"/>
      <c r="MBI3" s="525"/>
      <c r="MBJ3" s="525"/>
      <c r="MBK3" s="525"/>
      <c r="MBL3" s="525"/>
      <c r="MBM3" s="525"/>
      <c r="MBN3" s="525"/>
      <c r="MBO3" s="525"/>
      <c r="MBP3" s="525"/>
      <c r="MBQ3" s="525"/>
      <c r="MBR3" s="525"/>
      <c r="MBS3" s="525"/>
      <c r="MBT3" s="525"/>
      <c r="MBU3" s="525"/>
      <c r="MBV3" s="525"/>
      <c r="MBW3" s="525"/>
      <c r="MBX3" s="525"/>
      <c r="MBY3" s="525"/>
      <c r="MBZ3" s="525"/>
      <c r="MCA3" s="525"/>
      <c r="MCB3" s="525"/>
      <c r="MCC3" s="525"/>
      <c r="MCD3" s="525"/>
      <c r="MCE3" s="525"/>
      <c r="MCF3" s="525"/>
      <c r="MCG3" s="525"/>
      <c r="MCH3" s="525"/>
      <c r="MCI3" s="525"/>
      <c r="MCJ3" s="525"/>
      <c r="MCK3" s="525"/>
      <c r="MCL3" s="525"/>
      <c r="MCM3" s="525"/>
      <c r="MCN3" s="525"/>
      <c r="MCO3" s="525"/>
      <c r="MCP3" s="525"/>
      <c r="MCQ3" s="525"/>
      <c r="MCR3" s="525"/>
      <c r="MCS3" s="525"/>
      <c r="MCT3" s="525"/>
      <c r="MCU3" s="525"/>
      <c r="MCV3" s="525"/>
      <c r="MCW3" s="525"/>
      <c r="MCX3" s="525"/>
      <c r="MCY3" s="525"/>
      <c r="MCZ3" s="525"/>
      <c r="MDA3" s="525"/>
      <c r="MDB3" s="525"/>
      <c r="MDC3" s="525"/>
      <c r="MDD3" s="525"/>
      <c r="MDE3" s="525"/>
      <c r="MDF3" s="525"/>
      <c r="MDG3" s="525"/>
      <c r="MDH3" s="525"/>
      <c r="MDI3" s="525"/>
      <c r="MDJ3" s="525"/>
      <c r="MDK3" s="525"/>
      <c r="MDL3" s="525"/>
      <c r="MDM3" s="525"/>
      <c r="MDN3" s="525"/>
      <c r="MDO3" s="525"/>
      <c r="MDP3" s="525"/>
      <c r="MDQ3" s="525"/>
      <c r="MDR3" s="525"/>
      <c r="MDS3" s="525"/>
      <c r="MDT3" s="525"/>
      <c r="MDU3" s="525"/>
      <c r="MDV3" s="525"/>
      <c r="MDW3" s="525"/>
      <c r="MDX3" s="525"/>
      <c r="MDY3" s="525"/>
      <c r="MDZ3" s="525"/>
      <c r="MEA3" s="525"/>
      <c r="MEB3" s="525"/>
      <c r="MEC3" s="525"/>
      <c r="MED3" s="525"/>
      <c r="MEE3" s="525"/>
      <c r="MEF3" s="525"/>
      <c r="MEG3" s="525"/>
      <c r="MEH3" s="525"/>
      <c r="MEI3" s="525"/>
      <c r="MEJ3" s="525"/>
      <c r="MEK3" s="525"/>
      <c r="MEL3" s="525"/>
      <c r="MEM3" s="525"/>
      <c r="MEN3" s="525"/>
      <c r="MEO3" s="525"/>
      <c r="MEP3" s="525"/>
      <c r="MEQ3" s="525"/>
      <c r="MER3" s="525"/>
      <c r="MES3" s="525"/>
      <c r="MET3" s="525"/>
      <c r="MEU3" s="525"/>
      <c r="MEV3" s="525"/>
      <c r="MEW3" s="525"/>
      <c r="MEX3" s="525"/>
      <c r="MEY3" s="525"/>
      <c r="MEZ3" s="525"/>
      <c r="MFA3" s="525"/>
      <c r="MFB3" s="525"/>
      <c r="MFC3" s="525"/>
      <c r="MFD3" s="525"/>
      <c r="MFE3" s="525"/>
      <c r="MFF3" s="525"/>
      <c r="MFG3" s="525"/>
      <c r="MFH3" s="525"/>
      <c r="MFI3" s="525"/>
      <c r="MFJ3" s="525"/>
      <c r="MFK3" s="525"/>
      <c r="MFL3" s="525"/>
      <c r="MFM3" s="525"/>
      <c r="MFN3" s="525"/>
      <c r="MFO3" s="525"/>
      <c r="MFP3" s="525"/>
      <c r="MFQ3" s="525"/>
      <c r="MFR3" s="525"/>
      <c r="MFS3" s="525"/>
      <c r="MFT3" s="525"/>
      <c r="MFU3" s="525"/>
      <c r="MFV3" s="525"/>
      <c r="MFW3" s="525"/>
      <c r="MFX3" s="525"/>
      <c r="MFY3" s="525"/>
      <c r="MFZ3" s="525"/>
      <c r="MGA3" s="525"/>
      <c r="MGB3" s="525"/>
      <c r="MGC3" s="525"/>
      <c r="MGD3" s="525"/>
      <c r="MGE3" s="525"/>
      <c r="MGF3" s="525"/>
      <c r="MGG3" s="525"/>
      <c r="MGH3" s="525"/>
      <c r="MGI3" s="525"/>
      <c r="MGJ3" s="525"/>
      <c r="MGK3" s="525"/>
      <c r="MGL3" s="525"/>
      <c r="MGM3" s="525"/>
      <c r="MGN3" s="525"/>
      <c r="MGO3" s="525"/>
      <c r="MGP3" s="525"/>
      <c r="MGQ3" s="525"/>
      <c r="MGR3" s="525"/>
      <c r="MGS3" s="525"/>
      <c r="MGT3" s="525"/>
      <c r="MGU3" s="525"/>
      <c r="MGV3" s="525"/>
      <c r="MGW3" s="525"/>
      <c r="MGX3" s="525"/>
      <c r="MGY3" s="525"/>
      <c r="MGZ3" s="525"/>
      <c r="MHA3" s="525"/>
      <c r="MHB3" s="525"/>
      <c r="MHC3" s="525"/>
      <c r="MHD3" s="525"/>
      <c r="MHE3" s="525"/>
      <c r="MHF3" s="525"/>
      <c r="MHG3" s="525"/>
      <c r="MHH3" s="525"/>
      <c r="MHI3" s="525"/>
      <c r="MHJ3" s="525"/>
      <c r="MHK3" s="525"/>
      <c r="MHL3" s="525"/>
      <c r="MHM3" s="525"/>
      <c r="MHN3" s="525"/>
      <c r="MHO3" s="525"/>
      <c r="MHP3" s="525"/>
      <c r="MHQ3" s="525"/>
      <c r="MHR3" s="525"/>
      <c r="MHS3" s="525"/>
      <c r="MHT3" s="525"/>
      <c r="MHU3" s="525"/>
      <c r="MHV3" s="525"/>
      <c r="MHW3" s="525"/>
      <c r="MHX3" s="525"/>
      <c r="MHY3" s="525"/>
      <c r="MHZ3" s="525"/>
      <c r="MIA3" s="525"/>
      <c r="MIB3" s="525"/>
      <c r="MIC3" s="525"/>
      <c r="MID3" s="525"/>
      <c r="MIE3" s="525"/>
      <c r="MIF3" s="525"/>
      <c r="MIG3" s="525"/>
      <c r="MIH3" s="525"/>
      <c r="MII3" s="525"/>
      <c r="MIJ3" s="525"/>
      <c r="MIK3" s="525"/>
      <c r="MIL3" s="525"/>
      <c r="MIM3" s="525"/>
      <c r="MIN3" s="525"/>
      <c r="MIO3" s="525"/>
      <c r="MIP3" s="525"/>
      <c r="MIQ3" s="525"/>
      <c r="MIR3" s="525"/>
      <c r="MIS3" s="525"/>
      <c r="MIT3" s="525"/>
      <c r="MIU3" s="525"/>
      <c r="MIV3" s="525"/>
      <c r="MIW3" s="525"/>
      <c r="MIX3" s="525"/>
      <c r="MIY3" s="525"/>
      <c r="MIZ3" s="525"/>
      <c r="MJA3" s="525"/>
      <c r="MJB3" s="525"/>
      <c r="MJC3" s="525"/>
      <c r="MJD3" s="525"/>
      <c r="MJE3" s="525"/>
      <c r="MJF3" s="525"/>
      <c r="MJG3" s="525"/>
      <c r="MJH3" s="525"/>
      <c r="MJI3" s="525"/>
      <c r="MJJ3" s="525"/>
      <c r="MJK3" s="525"/>
      <c r="MJL3" s="525"/>
      <c r="MJM3" s="525"/>
      <c r="MJN3" s="525"/>
      <c r="MJO3" s="525"/>
      <c r="MJP3" s="525"/>
      <c r="MJQ3" s="525"/>
      <c r="MJR3" s="525"/>
      <c r="MJS3" s="525"/>
      <c r="MJT3" s="525"/>
      <c r="MJU3" s="525"/>
      <c r="MJV3" s="525"/>
      <c r="MJW3" s="525"/>
      <c r="MJX3" s="525"/>
      <c r="MJY3" s="525"/>
      <c r="MJZ3" s="525"/>
      <c r="MKA3" s="525"/>
      <c r="MKB3" s="525"/>
      <c r="MKC3" s="525"/>
      <c r="MKD3" s="525"/>
      <c r="MKE3" s="525"/>
      <c r="MKF3" s="525"/>
      <c r="MKG3" s="525"/>
      <c r="MKH3" s="525"/>
      <c r="MKI3" s="525"/>
      <c r="MKJ3" s="525"/>
      <c r="MKK3" s="525"/>
      <c r="MKL3" s="525"/>
      <c r="MKM3" s="525"/>
      <c r="MKN3" s="525"/>
      <c r="MKO3" s="525"/>
      <c r="MKP3" s="525"/>
      <c r="MKQ3" s="525"/>
      <c r="MKR3" s="525"/>
      <c r="MKS3" s="525"/>
      <c r="MKT3" s="525"/>
      <c r="MKU3" s="525"/>
      <c r="MKV3" s="525"/>
      <c r="MKW3" s="525"/>
      <c r="MKX3" s="525"/>
      <c r="MKY3" s="525"/>
      <c r="MKZ3" s="525"/>
      <c r="MLA3" s="525"/>
      <c r="MLB3" s="525"/>
      <c r="MLC3" s="525"/>
      <c r="MLD3" s="525"/>
      <c r="MLE3" s="525"/>
      <c r="MLF3" s="525"/>
      <c r="MLG3" s="525"/>
      <c r="MLH3" s="525"/>
      <c r="MLI3" s="525"/>
      <c r="MLJ3" s="525"/>
      <c r="MLK3" s="525"/>
      <c r="MLL3" s="525"/>
      <c r="MLM3" s="525"/>
      <c r="MLN3" s="525"/>
      <c r="MLO3" s="525"/>
      <c r="MLP3" s="525"/>
      <c r="MLQ3" s="525"/>
      <c r="MLR3" s="525"/>
      <c r="MLS3" s="525"/>
      <c r="MLT3" s="525"/>
      <c r="MLU3" s="525"/>
      <c r="MLV3" s="525"/>
      <c r="MLW3" s="525"/>
      <c r="MLX3" s="525"/>
      <c r="MLY3" s="525"/>
      <c r="MLZ3" s="525"/>
      <c r="MMA3" s="525"/>
      <c r="MMB3" s="525"/>
      <c r="MMC3" s="525"/>
      <c r="MMD3" s="525"/>
      <c r="MME3" s="525"/>
      <c r="MMF3" s="525"/>
      <c r="MMG3" s="525"/>
      <c r="MMH3" s="525"/>
      <c r="MMI3" s="525"/>
      <c r="MMJ3" s="525"/>
      <c r="MMK3" s="525"/>
      <c r="MML3" s="525"/>
      <c r="MMM3" s="525"/>
      <c r="MMN3" s="525"/>
      <c r="MMO3" s="525"/>
      <c r="MMP3" s="525"/>
      <c r="MMQ3" s="525"/>
      <c r="MMR3" s="525"/>
      <c r="MMS3" s="525"/>
      <c r="MMT3" s="525"/>
      <c r="MMU3" s="525"/>
      <c r="MMV3" s="525"/>
      <c r="MMW3" s="525"/>
      <c r="MMX3" s="525"/>
      <c r="MMY3" s="525"/>
      <c r="MMZ3" s="525"/>
      <c r="MNA3" s="525"/>
      <c r="MNB3" s="525"/>
      <c r="MNC3" s="525"/>
      <c r="MND3" s="525"/>
      <c r="MNE3" s="525"/>
      <c r="MNF3" s="525"/>
      <c r="MNG3" s="525"/>
      <c r="MNH3" s="525"/>
      <c r="MNI3" s="525"/>
      <c r="MNJ3" s="525"/>
      <c r="MNK3" s="525"/>
      <c r="MNL3" s="525"/>
      <c r="MNM3" s="525"/>
      <c r="MNN3" s="525"/>
      <c r="MNO3" s="525"/>
      <c r="MNP3" s="525"/>
      <c r="MNQ3" s="525"/>
      <c r="MNR3" s="525"/>
      <c r="MNS3" s="525"/>
      <c r="MNT3" s="525"/>
      <c r="MNU3" s="525"/>
      <c r="MNV3" s="525"/>
      <c r="MNW3" s="525"/>
      <c r="MNX3" s="525"/>
      <c r="MNY3" s="525"/>
      <c r="MNZ3" s="525"/>
      <c r="MOA3" s="525"/>
      <c r="MOB3" s="525"/>
      <c r="MOC3" s="525"/>
      <c r="MOD3" s="525"/>
      <c r="MOE3" s="525"/>
      <c r="MOF3" s="525"/>
      <c r="MOG3" s="525"/>
      <c r="MOH3" s="525"/>
      <c r="MOI3" s="525"/>
      <c r="MOJ3" s="525"/>
      <c r="MOK3" s="525"/>
      <c r="MOL3" s="525"/>
      <c r="MOM3" s="525"/>
      <c r="MON3" s="525"/>
      <c r="MOO3" s="525"/>
      <c r="MOP3" s="525"/>
      <c r="MOQ3" s="525"/>
      <c r="MOR3" s="525"/>
      <c r="MOS3" s="525"/>
      <c r="MOT3" s="525"/>
      <c r="MOU3" s="525"/>
      <c r="MOV3" s="525"/>
      <c r="MOW3" s="525"/>
      <c r="MOX3" s="525"/>
      <c r="MOY3" s="525"/>
      <c r="MOZ3" s="525"/>
      <c r="MPA3" s="525"/>
      <c r="MPB3" s="525"/>
      <c r="MPC3" s="525"/>
      <c r="MPD3" s="525"/>
      <c r="MPE3" s="525"/>
      <c r="MPF3" s="525"/>
      <c r="MPG3" s="525"/>
      <c r="MPH3" s="525"/>
      <c r="MPI3" s="525"/>
      <c r="MPJ3" s="525"/>
      <c r="MPK3" s="525"/>
      <c r="MPL3" s="525"/>
      <c r="MPM3" s="525"/>
      <c r="MPN3" s="525"/>
      <c r="MPO3" s="525"/>
      <c r="MPP3" s="525"/>
      <c r="MPQ3" s="525"/>
      <c r="MPR3" s="525"/>
      <c r="MPS3" s="525"/>
      <c r="MPT3" s="525"/>
      <c r="MPU3" s="525"/>
      <c r="MPV3" s="525"/>
      <c r="MPW3" s="525"/>
      <c r="MPX3" s="525"/>
      <c r="MPY3" s="525"/>
      <c r="MPZ3" s="525"/>
      <c r="MQA3" s="525"/>
      <c r="MQB3" s="525"/>
      <c r="MQC3" s="525"/>
      <c r="MQD3" s="525"/>
      <c r="MQE3" s="525"/>
      <c r="MQF3" s="525"/>
      <c r="MQG3" s="525"/>
      <c r="MQH3" s="525"/>
      <c r="MQI3" s="525"/>
      <c r="MQJ3" s="525"/>
      <c r="MQK3" s="525"/>
      <c r="MQL3" s="525"/>
      <c r="MQM3" s="525"/>
      <c r="MQN3" s="525"/>
      <c r="MQO3" s="525"/>
      <c r="MQP3" s="525"/>
      <c r="MQQ3" s="525"/>
      <c r="MQR3" s="525"/>
      <c r="MQS3" s="525"/>
      <c r="MQT3" s="525"/>
      <c r="MQU3" s="525"/>
      <c r="MQV3" s="525"/>
      <c r="MQW3" s="525"/>
      <c r="MQX3" s="525"/>
      <c r="MQY3" s="525"/>
      <c r="MQZ3" s="525"/>
      <c r="MRA3" s="525"/>
      <c r="MRB3" s="525"/>
      <c r="MRC3" s="525"/>
      <c r="MRD3" s="525"/>
      <c r="MRE3" s="525"/>
      <c r="MRF3" s="525"/>
      <c r="MRG3" s="525"/>
      <c r="MRH3" s="525"/>
      <c r="MRI3" s="525"/>
      <c r="MRJ3" s="525"/>
      <c r="MRK3" s="525"/>
      <c r="MRL3" s="525"/>
      <c r="MRM3" s="525"/>
      <c r="MRN3" s="525"/>
      <c r="MRO3" s="525"/>
      <c r="MRP3" s="525"/>
      <c r="MRQ3" s="525"/>
      <c r="MRR3" s="525"/>
      <c r="MRS3" s="525"/>
      <c r="MRT3" s="525"/>
      <c r="MRU3" s="525"/>
      <c r="MRV3" s="525"/>
      <c r="MRW3" s="525"/>
      <c r="MRX3" s="525"/>
      <c r="MRY3" s="525"/>
      <c r="MRZ3" s="525"/>
      <c r="MSA3" s="525"/>
      <c r="MSB3" s="525"/>
      <c r="MSC3" s="525"/>
      <c r="MSD3" s="525"/>
      <c r="MSE3" s="525"/>
      <c r="MSF3" s="525"/>
      <c r="MSG3" s="525"/>
      <c r="MSH3" s="525"/>
      <c r="MSI3" s="525"/>
      <c r="MSJ3" s="525"/>
      <c r="MSK3" s="525"/>
      <c r="MSL3" s="525"/>
      <c r="MSM3" s="525"/>
      <c r="MSN3" s="525"/>
      <c r="MSO3" s="525"/>
      <c r="MSP3" s="525"/>
      <c r="MSQ3" s="525"/>
      <c r="MSR3" s="525"/>
      <c r="MSS3" s="525"/>
      <c r="MST3" s="525"/>
      <c r="MSU3" s="525"/>
      <c r="MSV3" s="525"/>
      <c r="MSW3" s="525"/>
      <c r="MSX3" s="525"/>
      <c r="MSY3" s="525"/>
      <c r="MSZ3" s="525"/>
      <c r="MTA3" s="525"/>
      <c r="MTB3" s="525"/>
      <c r="MTC3" s="525"/>
      <c r="MTD3" s="525"/>
      <c r="MTE3" s="525"/>
      <c r="MTF3" s="525"/>
      <c r="MTG3" s="525"/>
      <c r="MTH3" s="525"/>
      <c r="MTI3" s="525"/>
      <c r="MTJ3" s="525"/>
      <c r="MTK3" s="525"/>
      <c r="MTL3" s="525"/>
      <c r="MTM3" s="525"/>
      <c r="MTN3" s="525"/>
      <c r="MTO3" s="525"/>
      <c r="MTP3" s="525"/>
      <c r="MTQ3" s="525"/>
      <c r="MTR3" s="525"/>
      <c r="MTS3" s="525"/>
      <c r="MTT3" s="525"/>
      <c r="MTU3" s="525"/>
      <c r="MTV3" s="525"/>
      <c r="MTW3" s="525"/>
      <c r="MTX3" s="525"/>
      <c r="MTY3" s="525"/>
      <c r="MTZ3" s="525"/>
      <c r="MUA3" s="525"/>
      <c r="MUB3" s="525"/>
      <c r="MUC3" s="525"/>
      <c r="MUD3" s="525"/>
      <c r="MUE3" s="525"/>
      <c r="MUF3" s="525"/>
      <c r="MUG3" s="525"/>
      <c r="MUH3" s="525"/>
      <c r="MUI3" s="525"/>
      <c r="MUJ3" s="525"/>
      <c r="MUK3" s="525"/>
      <c r="MUL3" s="525"/>
      <c r="MUM3" s="525"/>
      <c r="MUN3" s="525"/>
      <c r="MUO3" s="525"/>
      <c r="MUP3" s="525"/>
      <c r="MUQ3" s="525"/>
      <c r="MUR3" s="525"/>
      <c r="MUS3" s="525"/>
      <c r="MUT3" s="525"/>
      <c r="MUU3" s="525"/>
      <c r="MUV3" s="525"/>
      <c r="MUW3" s="525"/>
      <c r="MUX3" s="525"/>
      <c r="MUY3" s="525"/>
      <c r="MUZ3" s="525"/>
      <c r="MVA3" s="525"/>
      <c r="MVB3" s="525"/>
      <c r="MVC3" s="525"/>
      <c r="MVD3" s="525"/>
      <c r="MVE3" s="525"/>
      <c r="MVF3" s="525"/>
      <c r="MVG3" s="525"/>
      <c r="MVH3" s="525"/>
      <c r="MVI3" s="525"/>
      <c r="MVJ3" s="525"/>
      <c r="MVK3" s="525"/>
      <c r="MVL3" s="525"/>
      <c r="MVM3" s="525"/>
      <c r="MVN3" s="525"/>
      <c r="MVO3" s="525"/>
      <c r="MVP3" s="525"/>
      <c r="MVQ3" s="525"/>
      <c r="MVR3" s="525"/>
      <c r="MVS3" s="525"/>
      <c r="MVT3" s="525"/>
      <c r="MVU3" s="525"/>
      <c r="MVV3" s="525"/>
      <c r="MVW3" s="525"/>
      <c r="MVX3" s="525"/>
      <c r="MVY3" s="525"/>
      <c r="MVZ3" s="525"/>
      <c r="MWA3" s="525"/>
      <c r="MWB3" s="525"/>
      <c r="MWC3" s="525"/>
      <c r="MWD3" s="525"/>
      <c r="MWE3" s="525"/>
      <c r="MWF3" s="525"/>
      <c r="MWG3" s="525"/>
      <c r="MWH3" s="525"/>
      <c r="MWI3" s="525"/>
      <c r="MWJ3" s="525"/>
      <c r="MWK3" s="525"/>
      <c r="MWL3" s="525"/>
      <c r="MWM3" s="525"/>
      <c r="MWN3" s="525"/>
      <c r="MWO3" s="525"/>
      <c r="MWP3" s="525"/>
      <c r="MWQ3" s="525"/>
      <c r="MWR3" s="525"/>
      <c r="MWS3" s="525"/>
      <c r="MWT3" s="525"/>
      <c r="MWU3" s="525"/>
      <c r="MWV3" s="525"/>
      <c r="MWW3" s="525"/>
      <c r="MWX3" s="525"/>
      <c r="MWY3" s="525"/>
      <c r="MWZ3" s="525"/>
      <c r="MXA3" s="525"/>
      <c r="MXB3" s="525"/>
      <c r="MXC3" s="525"/>
      <c r="MXD3" s="525"/>
      <c r="MXE3" s="525"/>
      <c r="MXF3" s="525"/>
      <c r="MXG3" s="525"/>
      <c r="MXH3" s="525"/>
      <c r="MXI3" s="525"/>
      <c r="MXJ3" s="525"/>
      <c r="MXK3" s="525"/>
      <c r="MXL3" s="525"/>
      <c r="MXM3" s="525"/>
      <c r="MXN3" s="525"/>
      <c r="MXO3" s="525"/>
      <c r="MXP3" s="525"/>
      <c r="MXQ3" s="525"/>
      <c r="MXR3" s="525"/>
      <c r="MXS3" s="525"/>
      <c r="MXT3" s="525"/>
      <c r="MXU3" s="525"/>
      <c r="MXV3" s="525"/>
      <c r="MXW3" s="525"/>
      <c r="MXX3" s="525"/>
      <c r="MXY3" s="525"/>
      <c r="MXZ3" s="525"/>
      <c r="MYA3" s="525"/>
      <c r="MYB3" s="525"/>
      <c r="MYC3" s="525"/>
      <c r="MYD3" s="525"/>
      <c r="MYE3" s="525"/>
      <c r="MYF3" s="525"/>
      <c r="MYG3" s="525"/>
      <c r="MYH3" s="525"/>
      <c r="MYI3" s="525"/>
      <c r="MYJ3" s="525"/>
      <c r="MYK3" s="525"/>
      <c r="MYL3" s="525"/>
      <c r="MYM3" s="525"/>
      <c r="MYN3" s="525"/>
      <c r="MYO3" s="525"/>
      <c r="MYP3" s="525"/>
      <c r="MYQ3" s="525"/>
      <c r="MYR3" s="525"/>
      <c r="MYS3" s="525"/>
      <c r="MYT3" s="525"/>
      <c r="MYU3" s="525"/>
      <c r="MYV3" s="525"/>
      <c r="MYW3" s="525"/>
      <c r="MYX3" s="525"/>
      <c r="MYY3" s="525"/>
      <c r="MYZ3" s="525"/>
      <c r="MZA3" s="525"/>
      <c r="MZB3" s="525"/>
      <c r="MZC3" s="525"/>
      <c r="MZD3" s="525"/>
      <c r="MZE3" s="525"/>
      <c r="MZF3" s="525"/>
      <c r="MZG3" s="525"/>
      <c r="MZH3" s="525"/>
      <c r="MZI3" s="525"/>
      <c r="MZJ3" s="525"/>
      <c r="MZK3" s="525"/>
      <c r="MZL3" s="525"/>
      <c r="MZM3" s="525"/>
      <c r="MZN3" s="525"/>
      <c r="MZO3" s="525"/>
      <c r="MZP3" s="525"/>
      <c r="MZQ3" s="525"/>
      <c r="MZR3" s="525"/>
      <c r="MZS3" s="525"/>
      <c r="MZT3" s="525"/>
      <c r="MZU3" s="525"/>
      <c r="MZV3" s="525"/>
      <c r="MZW3" s="525"/>
      <c r="MZX3" s="525"/>
      <c r="MZY3" s="525"/>
      <c r="MZZ3" s="525"/>
      <c r="NAA3" s="525"/>
      <c r="NAB3" s="525"/>
      <c r="NAC3" s="525"/>
      <c r="NAD3" s="525"/>
      <c r="NAE3" s="525"/>
      <c r="NAF3" s="525"/>
      <c r="NAG3" s="525"/>
      <c r="NAH3" s="525"/>
      <c r="NAI3" s="525"/>
      <c r="NAJ3" s="525"/>
      <c r="NAK3" s="525"/>
      <c r="NAL3" s="525"/>
      <c r="NAM3" s="525"/>
      <c r="NAN3" s="525"/>
      <c r="NAO3" s="525"/>
      <c r="NAP3" s="525"/>
      <c r="NAQ3" s="525"/>
      <c r="NAR3" s="525"/>
      <c r="NAS3" s="525"/>
      <c r="NAT3" s="525"/>
      <c r="NAU3" s="525"/>
      <c r="NAV3" s="525"/>
      <c r="NAW3" s="525"/>
      <c r="NAX3" s="525"/>
      <c r="NAY3" s="525"/>
      <c r="NAZ3" s="525"/>
      <c r="NBA3" s="525"/>
      <c r="NBB3" s="525"/>
      <c r="NBC3" s="525"/>
      <c r="NBD3" s="525"/>
      <c r="NBE3" s="525"/>
      <c r="NBF3" s="525"/>
      <c r="NBG3" s="525"/>
      <c r="NBH3" s="525"/>
      <c r="NBI3" s="525"/>
      <c r="NBJ3" s="525"/>
      <c r="NBK3" s="525"/>
      <c r="NBL3" s="525"/>
      <c r="NBM3" s="525"/>
      <c r="NBN3" s="525"/>
      <c r="NBO3" s="525"/>
      <c r="NBP3" s="525"/>
      <c r="NBQ3" s="525"/>
      <c r="NBR3" s="525"/>
      <c r="NBS3" s="525"/>
      <c r="NBT3" s="525"/>
      <c r="NBU3" s="525"/>
      <c r="NBV3" s="525"/>
      <c r="NBW3" s="525"/>
      <c r="NBX3" s="525"/>
      <c r="NBY3" s="525"/>
      <c r="NBZ3" s="525"/>
      <c r="NCA3" s="525"/>
      <c r="NCB3" s="525"/>
      <c r="NCC3" s="525"/>
      <c r="NCD3" s="525"/>
      <c r="NCE3" s="525"/>
      <c r="NCF3" s="525"/>
      <c r="NCG3" s="525"/>
      <c r="NCH3" s="525"/>
      <c r="NCI3" s="525"/>
      <c r="NCJ3" s="525"/>
      <c r="NCK3" s="525"/>
      <c r="NCL3" s="525"/>
      <c r="NCM3" s="525"/>
      <c r="NCN3" s="525"/>
      <c r="NCO3" s="525"/>
      <c r="NCP3" s="525"/>
      <c r="NCQ3" s="525"/>
      <c r="NCR3" s="525"/>
      <c r="NCS3" s="525"/>
      <c r="NCT3" s="525"/>
      <c r="NCU3" s="525"/>
      <c r="NCV3" s="525"/>
      <c r="NCW3" s="525"/>
      <c r="NCX3" s="525"/>
      <c r="NCY3" s="525"/>
      <c r="NCZ3" s="525"/>
      <c r="NDA3" s="525"/>
      <c r="NDB3" s="525"/>
      <c r="NDC3" s="525"/>
      <c r="NDD3" s="525"/>
      <c r="NDE3" s="525"/>
      <c r="NDF3" s="525"/>
      <c r="NDG3" s="525"/>
      <c r="NDH3" s="525"/>
      <c r="NDI3" s="525"/>
      <c r="NDJ3" s="525"/>
      <c r="NDK3" s="525"/>
      <c r="NDL3" s="525"/>
      <c r="NDM3" s="525"/>
      <c r="NDN3" s="525"/>
      <c r="NDO3" s="525"/>
      <c r="NDP3" s="525"/>
      <c r="NDQ3" s="525"/>
      <c r="NDR3" s="525"/>
      <c r="NDS3" s="525"/>
      <c r="NDT3" s="525"/>
      <c r="NDU3" s="525"/>
      <c r="NDV3" s="525"/>
      <c r="NDW3" s="525"/>
      <c r="NDX3" s="525"/>
      <c r="NDY3" s="525"/>
      <c r="NDZ3" s="525"/>
      <c r="NEA3" s="525"/>
      <c r="NEB3" s="525"/>
      <c r="NEC3" s="525"/>
      <c r="NED3" s="525"/>
      <c r="NEE3" s="525"/>
      <c r="NEF3" s="525"/>
      <c r="NEG3" s="525"/>
      <c r="NEH3" s="525"/>
      <c r="NEI3" s="525"/>
      <c r="NEJ3" s="525"/>
      <c r="NEK3" s="525"/>
      <c r="NEL3" s="525"/>
      <c r="NEM3" s="525"/>
      <c r="NEN3" s="525"/>
      <c r="NEO3" s="525"/>
      <c r="NEP3" s="525"/>
      <c r="NEQ3" s="525"/>
      <c r="NER3" s="525"/>
      <c r="NES3" s="525"/>
      <c r="NET3" s="525"/>
      <c r="NEU3" s="525"/>
      <c r="NEV3" s="525"/>
      <c r="NEW3" s="525"/>
      <c r="NEX3" s="525"/>
      <c r="NEY3" s="525"/>
      <c r="NEZ3" s="525"/>
      <c r="NFA3" s="525"/>
      <c r="NFB3" s="525"/>
      <c r="NFC3" s="525"/>
      <c r="NFD3" s="525"/>
      <c r="NFE3" s="525"/>
      <c r="NFF3" s="525"/>
      <c r="NFG3" s="525"/>
      <c r="NFH3" s="525"/>
      <c r="NFI3" s="525"/>
      <c r="NFJ3" s="525"/>
      <c r="NFK3" s="525"/>
      <c r="NFL3" s="525"/>
      <c r="NFM3" s="525"/>
      <c r="NFN3" s="525"/>
      <c r="NFO3" s="525"/>
      <c r="NFP3" s="525"/>
      <c r="NFQ3" s="525"/>
      <c r="NFR3" s="525"/>
      <c r="NFS3" s="525"/>
      <c r="NFT3" s="525"/>
      <c r="NFU3" s="525"/>
      <c r="NFV3" s="525"/>
      <c r="NFW3" s="525"/>
      <c r="NFX3" s="525"/>
      <c r="NFY3" s="525"/>
      <c r="NFZ3" s="525"/>
      <c r="NGA3" s="525"/>
      <c r="NGB3" s="525"/>
      <c r="NGC3" s="525"/>
      <c r="NGD3" s="525"/>
      <c r="NGE3" s="525"/>
      <c r="NGF3" s="525"/>
      <c r="NGG3" s="525"/>
      <c r="NGH3" s="525"/>
      <c r="NGI3" s="525"/>
      <c r="NGJ3" s="525"/>
      <c r="NGK3" s="525"/>
      <c r="NGL3" s="525"/>
      <c r="NGM3" s="525"/>
      <c r="NGN3" s="525"/>
      <c r="NGO3" s="525"/>
      <c r="NGP3" s="525"/>
      <c r="NGQ3" s="525"/>
      <c r="NGR3" s="525"/>
      <c r="NGS3" s="525"/>
      <c r="NGT3" s="525"/>
      <c r="NGU3" s="525"/>
      <c r="NGV3" s="525"/>
      <c r="NGW3" s="525"/>
      <c r="NGX3" s="525"/>
      <c r="NGY3" s="525"/>
      <c r="NGZ3" s="525"/>
      <c r="NHA3" s="525"/>
      <c r="NHB3" s="525"/>
      <c r="NHC3" s="525"/>
      <c r="NHD3" s="525"/>
      <c r="NHE3" s="525"/>
      <c r="NHF3" s="525"/>
      <c r="NHG3" s="525"/>
      <c r="NHH3" s="525"/>
      <c r="NHI3" s="525"/>
      <c r="NHJ3" s="525"/>
      <c r="NHK3" s="525"/>
      <c r="NHL3" s="525"/>
      <c r="NHM3" s="525"/>
      <c r="NHN3" s="525"/>
      <c r="NHO3" s="525"/>
      <c r="NHP3" s="525"/>
      <c r="NHQ3" s="525"/>
      <c r="NHR3" s="525"/>
      <c r="NHS3" s="525"/>
      <c r="NHT3" s="525"/>
      <c r="NHU3" s="525"/>
      <c r="NHV3" s="525"/>
      <c r="NHW3" s="525"/>
      <c r="NHX3" s="525"/>
      <c r="NHY3" s="525"/>
      <c r="NHZ3" s="525"/>
      <c r="NIA3" s="525"/>
      <c r="NIB3" s="525"/>
      <c r="NIC3" s="525"/>
      <c r="NID3" s="525"/>
      <c r="NIE3" s="525"/>
      <c r="NIF3" s="525"/>
      <c r="NIG3" s="525"/>
      <c r="NIH3" s="525"/>
      <c r="NII3" s="525"/>
      <c r="NIJ3" s="525"/>
      <c r="NIK3" s="525"/>
      <c r="NIL3" s="525"/>
      <c r="NIM3" s="525"/>
      <c r="NIN3" s="525"/>
      <c r="NIO3" s="525"/>
      <c r="NIP3" s="525"/>
      <c r="NIQ3" s="525"/>
      <c r="NIR3" s="525"/>
      <c r="NIS3" s="525"/>
      <c r="NIT3" s="525"/>
      <c r="NIU3" s="525"/>
      <c r="NIV3" s="525"/>
      <c r="NIW3" s="525"/>
      <c r="NIX3" s="525"/>
      <c r="NIY3" s="525"/>
      <c r="NIZ3" s="525"/>
      <c r="NJA3" s="525"/>
      <c r="NJB3" s="525"/>
      <c r="NJC3" s="525"/>
      <c r="NJD3" s="525"/>
      <c r="NJE3" s="525"/>
      <c r="NJF3" s="525"/>
      <c r="NJG3" s="525"/>
      <c r="NJH3" s="525"/>
      <c r="NJI3" s="525"/>
      <c r="NJJ3" s="525"/>
      <c r="NJK3" s="525"/>
      <c r="NJL3" s="525"/>
      <c r="NJM3" s="525"/>
      <c r="NJN3" s="525"/>
      <c r="NJO3" s="525"/>
      <c r="NJP3" s="525"/>
      <c r="NJQ3" s="525"/>
      <c r="NJR3" s="525"/>
      <c r="NJS3" s="525"/>
      <c r="NJT3" s="525"/>
      <c r="NJU3" s="525"/>
      <c r="NJV3" s="525"/>
      <c r="NJW3" s="525"/>
      <c r="NJX3" s="525"/>
      <c r="NJY3" s="525"/>
      <c r="NJZ3" s="525"/>
      <c r="NKA3" s="525"/>
      <c r="NKB3" s="525"/>
      <c r="NKC3" s="525"/>
      <c r="NKD3" s="525"/>
      <c r="NKE3" s="525"/>
      <c r="NKF3" s="525"/>
      <c r="NKG3" s="525"/>
      <c r="NKH3" s="525"/>
      <c r="NKI3" s="525"/>
      <c r="NKJ3" s="525"/>
      <c r="NKK3" s="525"/>
      <c r="NKL3" s="525"/>
      <c r="NKM3" s="525"/>
      <c r="NKN3" s="525"/>
      <c r="NKO3" s="525"/>
      <c r="NKP3" s="525"/>
      <c r="NKQ3" s="525"/>
      <c r="NKR3" s="525"/>
      <c r="NKS3" s="525"/>
      <c r="NKT3" s="525"/>
      <c r="NKU3" s="525"/>
      <c r="NKV3" s="525"/>
      <c r="NKW3" s="525"/>
      <c r="NKX3" s="525"/>
      <c r="NKY3" s="525"/>
      <c r="NKZ3" s="525"/>
      <c r="NLA3" s="525"/>
      <c r="NLB3" s="525"/>
      <c r="NLC3" s="525"/>
      <c r="NLD3" s="525"/>
      <c r="NLE3" s="525"/>
      <c r="NLF3" s="525"/>
      <c r="NLG3" s="525"/>
      <c r="NLH3" s="525"/>
      <c r="NLI3" s="525"/>
      <c r="NLJ3" s="525"/>
      <c r="NLK3" s="525"/>
      <c r="NLL3" s="525"/>
      <c r="NLM3" s="525"/>
      <c r="NLN3" s="525"/>
      <c r="NLO3" s="525"/>
      <c r="NLP3" s="525"/>
      <c r="NLQ3" s="525"/>
      <c r="NLR3" s="525"/>
      <c r="NLS3" s="525"/>
      <c r="NLT3" s="525"/>
      <c r="NLU3" s="525"/>
      <c r="NLV3" s="525"/>
      <c r="NLW3" s="525"/>
      <c r="NLX3" s="525"/>
      <c r="NLY3" s="525"/>
      <c r="NLZ3" s="525"/>
      <c r="NMA3" s="525"/>
      <c r="NMB3" s="525"/>
      <c r="NMC3" s="525"/>
      <c r="NMD3" s="525"/>
      <c r="NME3" s="525"/>
      <c r="NMF3" s="525"/>
      <c r="NMG3" s="525"/>
      <c r="NMH3" s="525"/>
      <c r="NMI3" s="525"/>
      <c r="NMJ3" s="525"/>
      <c r="NMK3" s="525"/>
      <c r="NML3" s="525"/>
      <c r="NMM3" s="525"/>
      <c r="NMN3" s="525"/>
      <c r="NMO3" s="525"/>
      <c r="NMP3" s="525"/>
      <c r="NMQ3" s="525"/>
      <c r="NMR3" s="525"/>
      <c r="NMS3" s="525"/>
      <c r="NMT3" s="525"/>
      <c r="NMU3" s="525"/>
      <c r="NMV3" s="525"/>
      <c r="NMW3" s="525"/>
      <c r="NMX3" s="525"/>
      <c r="NMY3" s="525"/>
      <c r="NMZ3" s="525"/>
      <c r="NNA3" s="525"/>
      <c r="NNB3" s="525"/>
      <c r="NNC3" s="525"/>
      <c r="NND3" s="525"/>
      <c r="NNE3" s="525"/>
      <c r="NNF3" s="525"/>
      <c r="NNG3" s="525"/>
      <c r="NNH3" s="525"/>
      <c r="NNI3" s="525"/>
      <c r="NNJ3" s="525"/>
      <c r="NNK3" s="525"/>
      <c r="NNL3" s="525"/>
      <c r="NNM3" s="525"/>
      <c r="NNN3" s="525"/>
      <c r="NNO3" s="525"/>
      <c r="NNP3" s="525"/>
      <c r="NNQ3" s="525"/>
      <c r="NNR3" s="525"/>
      <c r="NNS3" s="525"/>
      <c r="NNT3" s="525"/>
      <c r="NNU3" s="525"/>
      <c r="NNV3" s="525"/>
      <c r="NNW3" s="525"/>
      <c r="NNX3" s="525"/>
      <c r="NNY3" s="525"/>
      <c r="NNZ3" s="525"/>
      <c r="NOA3" s="525"/>
      <c r="NOB3" s="525"/>
      <c r="NOC3" s="525"/>
      <c r="NOD3" s="525"/>
      <c r="NOE3" s="525"/>
      <c r="NOF3" s="525"/>
      <c r="NOG3" s="525"/>
      <c r="NOH3" s="525"/>
      <c r="NOI3" s="525"/>
      <c r="NOJ3" s="525"/>
      <c r="NOK3" s="525"/>
      <c r="NOL3" s="525"/>
      <c r="NOM3" s="525"/>
      <c r="NON3" s="525"/>
      <c r="NOO3" s="525"/>
      <c r="NOP3" s="525"/>
      <c r="NOQ3" s="525"/>
      <c r="NOR3" s="525"/>
      <c r="NOS3" s="525"/>
      <c r="NOT3" s="525"/>
      <c r="NOU3" s="525"/>
      <c r="NOV3" s="525"/>
      <c r="NOW3" s="525"/>
      <c r="NOX3" s="525"/>
      <c r="NOY3" s="525"/>
      <c r="NOZ3" s="525"/>
      <c r="NPA3" s="525"/>
      <c r="NPB3" s="525"/>
      <c r="NPC3" s="525"/>
      <c r="NPD3" s="525"/>
      <c r="NPE3" s="525"/>
      <c r="NPF3" s="525"/>
      <c r="NPG3" s="525"/>
      <c r="NPH3" s="525"/>
      <c r="NPI3" s="525"/>
      <c r="NPJ3" s="525"/>
      <c r="NPK3" s="525"/>
      <c r="NPL3" s="525"/>
      <c r="NPM3" s="525"/>
      <c r="NPN3" s="525"/>
      <c r="NPO3" s="525"/>
      <c r="NPP3" s="525"/>
      <c r="NPQ3" s="525"/>
      <c r="NPR3" s="525"/>
      <c r="NPS3" s="525"/>
      <c r="NPT3" s="525"/>
      <c r="NPU3" s="525"/>
      <c r="NPV3" s="525"/>
      <c r="NPW3" s="525"/>
      <c r="NPX3" s="525"/>
      <c r="NPY3" s="525"/>
      <c r="NPZ3" s="525"/>
      <c r="NQA3" s="525"/>
      <c r="NQB3" s="525"/>
      <c r="NQC3" s="525"/>
      <c r="NQD3" s="525"/>
      <c r="NQE3" s="525"/>
      <c r="NQF3" s="525"/>
      <c r="NQG3" s="525"/>
      <c r="NQH3" s="525"/>
      <c r="NQI3" s="525"/>
      <c r="NQJ3" s="525"/>
      <c r="NQK3" s="525"/>
      <c r="NQL3" s="525"/>
      <c r="NQM3" s="525"/>
      <c r="NQN3" s="525"/>
      <c r="NQO3" s="525"/>
      <c r="NQP3" s="525"/>
      <c r="NQQ3" s="525"/>
      <c r="NQR3" s="525"/>
      <c r="NQS3" s="525"/>
      <c r="NQT3" s="525"/>
      <c r="NQU3" s="525"/>
      <c r="NQV3" s="525"/>
      <c r="NQW3" s="525"/>
      <c r="NQX3" s="525"/>
      <c r="NQY3" s="525"/>
      <c r="NQZ3" s="525"/>
      <c r="NRA3" s="525"/>
      <c r="NRB3" s="525"/>
      <c r="NRC3" s="525"/>
      <c r="NRD3" s="525"/>
      <c r="NRE3" s="525"/>
      <c r="NRF3" s="525"/>
      <c r="NRG3" s="525"/>
      <c r="NRH3" s="525"/>
      <c r="NRI3" s="525"/>
      <c r="NRJ3" s="525"/>
      <c r="NRK3" s="525"/>
      <c r="NRL3" s="525"/>
      <c r="NRM3" s="525"/>
      <c r="NRN3" s="525"/>
      <c r="NRO3" s="525"/>
      <c r="NRP3" s="525"/>
      <c r="NRQ3" s="525"/>
      <c r="NRR3" s="525"/>
      <c r="NRS3" s="525"/>
      <c r="NRT3" s="525"/>
      <c r="NRU3" s="525"/>
      <c r="NRV3" s="525"/>
      <c r="NRW3" s="525"/>
      <c r="NRX3" s="525"/>
      <c r="NRY3" s="525"/>
      <c r="NRZ3" s="525"/>
      <c r="NSA3" s="525"/>
      <c r="NSB3" s="525"/>
      <c r="NSC3" s="525"/>
      <c r="NSD3" s="525"/>
      <c r="NSE3" s="525"/>
      <c r="NSF3" s="525"/>
      <c r="NSG3" s="525"/>
      <c r="NSH3" s="525"/>
      <c r="NSI3" s="525"/>
      <c r="NSJ3" s="525"/>
      <c r="NSK3" s="525"/>
      <c r="NSL3" s="525"/>
      <c r="NSM3" s="525"/>
      <c r="NSN3" s="525"/>
      <c r="NSO3" s="525"/>
      <c r="NSP3" s="525"/>
      <c r="NSQ3" s="525"/>
      <c r="NSR3" s="525"/>
      <c r="NSS3" s="525"/>
      <c r="NST3" s="525"/>
      <c r="NSU3" s="525"/>
      <c r="NSV3" s="525"/>
      <c r="NSW3" s="525"/>
      <c r="NSX3" s="525"/>
      <c r="NSY3" s="525"/>
      <c r="NSZ3" s="525"/>
      <c r="NTA3" s="525"/>
      <c r="NTB3" s="525"/>
      <c r="NTC3" s="525"/>
      <c r="NTD3" s="525"/>
      <c r="NTE3" s="525"/>
      <c r="NTF3" s="525"/>
      <c r="NTG3" s="525"/>
      <c r="NTH3" s="525"/>
      <c r="NTI3" s="525"/>
      <c r="NTJ3" s="525"/>
      <c r="NTK3" s="525"/>
      <c r="NTL3" s="525"/>
      <c r="NTM3" s="525"/>
      <c r="NTN3" s="525"/>
      <c r="NTO3" s="525"/>
      <c r="NTP3" s="525"/>
      <c r="NTQ3" s="525"/>
      <c r="NTR3" s="525"/>
      <c r="NTS3" s="525"/>
      <c r="NTT3" s="525"/>
      <c r="NTU3" s="525"/>
      <c r="NTV3" s="525"/>
      <c r="NTW3" s="525"/>
      <c r="NTX3" s="525"/>
      <c r="NTY3" s="525"/>
      <c r="NTZ3" s="525"/>
      <c r="NUA3" s="525"/>
      <c r="NUB3" s="525"/>
      <c r="NUC3" s="525"/>
      <c r="NUD3" s="525"/>
      <c r="NUE3" s="525"/>
      <c r="NUF3" s="525"/>
      <c r="NUG3" s="525"/>
      <c r="NUH3" s="525"/>
      <c r="NUI3" s="525"/>
      <c r="NUJ3" s="525"/>
      <c r="NUK3" s="525"/>
      <c r="NUL3" s="525"/>
      <c r="NUM3" s="525"/>
      <c r="NUN3" s="525"/>
      <c r="NUO3" s="525"/>
      <c r="NUP3" s="525"/>
      <c r="NUQ3" s="525"/>
      <c r="NUR3" s="525"/>
      <c r="NUS3" s="525"/>
      <c r="NUT3" s="525"/>
      <c r="NUU3" s="525"/>
      <c r="NUV3" s="525"/>
      <c r="NUW3" s="525"/>
      <c r="NUX3" s="525"/>
      <c r="NUY3" s="525"/>
      <c r="NUZ3" s="525"/>
      <c r="NVA3" s="525"/>
      <c r="NVB3" s="525"/>
      <c r="NVC3" s="525"/>
      <c r="NVD3" s="525"/>
      <c r="NVE3" s="525"/>
      <c r="NVF3" s="525"/>
      <c r="NVG3" s="525"/>
      <c r="NVH3" s="525"/>
      <c r="NVI3" s="525"/>
      <c r="NVJ3" s="525"/>
      <c r="NVK3" s="525"/>
      <c r="NVL3" s="525"/>
      <c r="NVM3" s="525"/>
      <c r="NVN3" s="525"/>
      <c r="NVO3" s="525"/>
      <c r="NVP3" s="525"/>
      <c r="NVQ3" s="525"/>
      <c r="NVR3" s="525"/>
      <c r="NVS3" s="525"/>
      <c r="NVT3" s="525"/>
      <c r="NVU3" s="525"/>
      <c r="NVV3" s="525"/>
      <c r="NVW3" s="525"/>
      <c r="NVX3" s="525"/>
      <c r="NVY3" s="525"/>
      <c r="NVZ3" s="525"/>
      <c r="NWA3" s="525"/>
      <c r="NWB3" s="525"/>
      <c r="NWC3" s="525"/>
      <c r="NWD3" s="525"/>
      <c r="NWE3" s="525"/>
      <c r="NWF3" s="525"/>
      <c r="NWG3" s="525"/>
      <c r="NWH3" s="525"/>
      <c r="NWI3" s="525"/>
      <c r="NWJ3" s="525"/>
      <c r="NWK3" s="525"/>
      <c r="NWL3" s="525"/>
      <c r="NWM3" s="525"/>
      <c r="NWN3" s="525"/>
      <c r="NWO3" s="525"/>
      <c r="NWP3" s="525"/>
      <c r="NWQ3" s="525"/>
      <c r="NWR3" s="525"/>
      <c r="NWS3" s="525"/>
      <c r="NWT3" s="525"/>
      <c r="NWU3" s="525"/>
      <c r="NWV3" s="525"/>
      <c r="NWW3" s="525"/>
      <c r="NWX3" s="525"/>
      <c r="NWY3" s="525"/>
      <c r="NWZ3" s="525"/>
      <c r="NXA3" s="525"/>
      <c r="NXB3" s="525"/>
      <c r="NXC3" s="525"/>
      <c r="NXD3" s="525"/>
      <c r="NXE3" s="525"/>
      <c r="NXF3" s="525"/>
      <c r="NXG3" s="525"/>
      <c r="NXH3" s="525"/>
      <c r="NXI3" s="525"/>
      <c r="NXJ3" s="525"/>
      <c r="NXK3" s="525"/>
      <c r="NXL3" s="525"/>
      <c r="NXM3" s="525"/>
      <c r="NXN3" s="525"/>
      <c r="NXO3" s="525"/>
      <c r="NXP3" s="525"/>
      <c r="NXQ3" s="525"/>
      <c r="NXR3" s="525"/>
      <c r="NXS3" s="525"/>
      <c r="NXT3" s="525"/>
      <c r="NXU3" s="525"/>
      <c r="NXV3" s="525"/>
      <c r="NXW3" s="525"/>
      <c r="NXX3" s="525"/>
      <c r="NXY3" s="525"/>
      <c r="NXZ3" s="525"/>
      <c r="NYA3" s="525"/>
      <c r="NYB3" s="525"/>
      <c r="NYC3" s="525"/>
      <c r="NYD3" s="525"/>
      <c r="NYE3" s="525"/>
      <c r="NYF3" s="525"/>
      <c r="NYG3" s="525"/>
      <c r="NYH3" s="525"/>
      <c r="NYI3" s="525"/>
      <c r="NYJ3" s="525"/>
      <c r="NYK3" s="525"/>
      <c r="NYL3" s="525"/>
      <c r="NYM3" s="525"/>
      <c r="NYN3" s="525"/>
      <c r="NYO3" s="525"/>
      <c r="NYP3" s="525"/>
      <c r="NYQ3" s="525"/>
      <c r="NYR3" s="525"/>
      <c r="NYS3" s="525"/>
      <c r="NYT3" s="525"/>
      <c r="NYU3" s="525"/>
      <c r="NYV3" s="525"/>
      <c r="NYW3" s="525"/>
      <c r="NYX3" s="525"/>
      <c r="NYY3" s="525"/>
      <c r="NYZ3" s="525"/>
      <c r="NZA3" s="525"/>
      <c r="NZB3" s="525"/>
      <c r="NZC3" s="525"/>
      <c r="NZD3" s="525"/>
      <c r="NZE3" s="525"/>
      <c r="NZF3" s="525"/>
      <c r="NZG3" s="525"/>
      <c r="NZH3" s="525"/>
      <c r="NZI3" s="525"/>
      <c r="NZJ3" s="525"/>
      <c r="NZK3" s="525"/>
      <c r="NZL3" s="525"/>
      <c r="NZM3" s="525"/>
      <c r="NZN3" s="525"/>
      <c r="NZO3" s="525"/>
      <c r="NZP3" s="525"/>
      <c r="NZQ3" s="525"/>
      <c r="NZR3" s="525"/>
      <c r="NZS3" s="525"/>
      <c r="NZT3" s="525"/>
      <c r="NZU3" s="525"/>
      <c r="NZV3" s="525"/>
      <c r="NZW3" s="525"/>
      <c r="NZX3" s="525"/>
      <c r="NZY3" s="525"/>
      <c r="NZZ3" s="525"/>
      <c r="OAA3" s="525"/>
      <c r="OAB3" s="525"/>
      <c r="OAC3" s="525"/>
      <c r="OAD3" s="525"/>
      <c r="OAE3" s="525"/>
      <c r="OAF3" s="525"/>
      <c r="OAG3" s="525"/>
      <c r="OAH3" s="525"/>
      <c r="OAI3" s="525"/>
      <c r="OAJ3" s="525"/>
      <c r="OAK3" s="525"/>
      <c r="OAL3" s="525"/>
      <c r="OAM3" s="525"/>
      <c r="OAN3" s="525"/>
      <c r="OAO3" s="525"/>
      <c r="OAP3" s="525"/>
      <c r="OAQ3" s="525"/>
      <c r="OAR3" s="525"/>
      <c r="OAS3" s="525"/>
      <c r="OAT3" s="525"/>
      <c r="OAU3" s="525"/>
      <c r="OAV3" s="525"/>
      <c r="OAW3" s="525"/>
      <c r="OAX3" s="525"/>
      <c r="OAY3" s="525"/>
      <c r="OAZ3" s="525"/>
      <c r="OBA3" s="525"/>
      <c r="OBB3" s="525"/>
      <c r="OBC3" s="525"/>
      <c r="OBD3" s="525"/>
      <c r="OBE3" s="525"/>
      <c r="OBF3" s="525"/>
      <c r="OBG3" s="525"/>
      <c r="OBH3" s="525"/>
      <c r="OBI3" s="525"/>
      <c r="OBJ3" s="525"/>
      <c r="OBK3" s="525"/>
      <c r="OBL3" s="525"/>
      <c r="OBM3" s="525"/>
      <c r="OBN3" s="525"/>
      <c r="OBO3" s="525"/>
      <c r="OBP3" s="525"/>
      <c r="OBQ3" s="525"/>
      <c r="OBR3" s="525"/>
      <c r="OBS3" s="525"/>
      <c r="OBT3" s="525"/>
      <c r="OBU3" s="525"/>
      <c r="OBV3" s="525"/>
      <c r="OBW3" s="525"/>
      <c r="OBX3" s="525"/>
      <c r="OBY3" s="525"/>
      <c r="OBZ3" s="525"/>
      <c r="OCA3" s="525"/>
      <c r="OCB3" s="525"/>
      <c r="OCC3" s="525"/>
      <c r="OCD3" s="525"/>
      <c r="OCE3" s="525"/>
      <c r="OCF3" s="525"/>
      <c r="OCG3" s="525"/>
      <c r="OCH3" s="525"/>
      <c r="OCI3" s="525"/>
      <c r="OCJ3" s="525"/>
      <c r="OCK3" s="525"/>
      <c r="OCL3" s="525"/>
      <c r="OCM3" s="525"/>
      <c r="OCN3" s="525"/>
      <c r="OCO3" s="525"/>
      <c r="OCP3" s="525"/>
      <c r="OCQ3" s="525"/>
      <c r="OCR3" s="525"/>
      <c r="OCS3" s="525"/>
      <c r="OCT3" s="525"/>
      <c r="OCU3" s="525"/>
      <c r="OCV3" s="525"/>
      <c r="OCW3" s="525"/>
      <c r="OCX3" s="525"/>
      <c r="OCY3" s="525"/>
      <c r="OCZ3" s="525"/>
      <c r="ODA3" s="525"/>
      <c r="ODB3" s="525"/>
      <c r="ODC3" s="525"/>
      <c r="ODD3" s="525"/>
      <c r="ODE3" s="525"/>
      <c r="ODF3" s="525"/>
      <c r="ODG3" s="525"/>
      <c r="ODH3" s="525"/>
      <c r="ODI3" s="525"/>
      <c r="ODJ3" s="525"/>
      <c r="ODK3" s="525"/>
      <c r="ODL3" s="525"/>
      <c r="ODM3" s="525"/>
      <c r="ODN3" s="525"/>
      <c r="ODO3" s="525"/>
      <c r="ODP3" s="525"/>
      <c r="ODQ3" s="525"/>
      <c r="ODR3" s="525"/>
      <c r="ODS3" s="525"/>
      <c r="ODT3" s="525"/>
      <c r="ODU3" s="525"/>
      <c r="ODV3" s="525"/>
      <c r="ODW3" s="525"/>
      <c r="ODX3" s="525"/>
      <c r="ODY3" s="525"/>
      <c r="ODZ3" s="525"/>
      <c r="OEA3" s="525"/>
      <c r="OEB3" s="525"/>
      <c r="OEC3" s="525"/>
      <c r="OED3" s="525"/>
      <c r="OEE3" s="525"/>
      <c r="OEF3" s="525"/>
      <c r="OEG3" s="525"/>
      <c r="OEH3" s="525"/>
      <c r="OEI3" s="525"/>
      <c r="OEJ3" s="525"/>
      <c r="OEK3" s="525"/>
      <c r="OEL3" s="525"/>
      <c r="OEM3" s="525"/>
      <c r="OEN3" s="525"/>
      <c r="OEO3" s="525"/>
      <c r="OEP3" s="525"/>
      <c r="OEQ3" s="525"/>
      <c r="OER3" s="525"/>
      <c r="OES3" s="525"/>
      <c r="OET3" s="525"/>
      <c r="OEU3" s="525"/>
      <c r="OEV3" s="525"/>
      <c r="OEW3" s="525"/>
      <c r="OEX3" s="525"/>
      <c r="OEY3" s="525"/>
      <c r="OEZ3" s="525"/>
      <c r="OFA3" s="525"/>
      <c r="OFB3" s="525"/>
      <c r="OFC3" s="525"/>
      <c r="OFD3" s="525"/>
      <c r="OFE3" s="525"/>
      <c r="OFF3" s="525"/>
      <c r="OFG3" s="525"/>
      <c r="OFH3" s="525"/>
      <c r="OFI3" s="525"/>
      <c r="OFJ3" s="525"/>
      <c r="OFK3" s="525"/>
      <c r="OFL3" s="525"/>
      <c r="OFM3" s="525"/>
      <c r="OFN3" s="525"/>
      <c r="OFO3" s="525"/>
      <c r="OFP3" s="525"/>
      <c r="OFQ3" s="525"/>
      <c r="OFR3" s="525"/>
      <c r="OFS3" s="525"/>
      <c r="OFT3" s="525"/>
      <c r="OFU3" s="525"/>
      <c r="OFV3" s="525"/>
      <c r="OFW3" s="525"/>
      <c r="OFX3" s="525"/>
      <c r="OFY3" s="525"/>
      <c r="OFZ3" s="525"/>
      <c r="OGA3" s="525"/>
      <c r="OGB3" s="525"/>
      <c r="OGC3" s="525"/>
      <c r="OGD3" s="525"/>
      <c r="OGE3" s="525"/>
      <c r="OGF3" s="525"/>
      <c r="OGG3" s="525"/>
      <c r="OGH3" s="525"/>
      <c r="OGI3" s="525"/>
      <c r="OGJ3" s="525"/>
      <c r="OGK3" s="525"/>
      <c r="OGL3" s="525"/>
      <c r="OGM3" s="525"/>
      <c r="OGN3" s="525"/>
      <c r="OGO3" s="525"/>
      <c r="OGP3" s="525"/>
      <c r="OGQ3" s="525"/>
      <c r="OGR3" s="525"/>
      <c r="OGS3" s="525"/>
      <c r="OGT3" s="525"/>
      <c r="OGU3" s="525"/>
      <c r="OGV3" s="525"/>
      <c r="OGW3" s="525"/>
      <c r="OGX3" s="525"/>
      <c r="OGY3" s="525"/>
      <c r="OGZ3" s="525"/>
      <c r="OHA3" s="525"/>
      <c r="OHB3" s="525"/>
      <c r="OHC3" s="525"/>
      <c r="OHD3" s="525"/>
      <c r="OHE3" s="525"/>
      <c r="OHF3" s="525"/>
      <c r="OHG3" s="525"/>
      <c r="OHH3" s="525"/>
      <c r="OHI3" s="525"/>
      <c r="OHJ3" s="525"/>
      <c r="OHK3" s="525"/>
      <c r="OHL3" s="525"/>
      <c r="OHM3" s="525"/>
      <c r="OHN3" s="525"/>
      <c r="OHO3" s="525"/>
      <c r="OHP3" s="525"/>
      <c r="OHQ3" s="525"/>
      <c r="OHR3" s="525"/>
      <c r="OHS3" s="525"/>
      <c r="OHT3" s="525"/>
      <c r="OHU3" s="525"/>
      <c r="OHV3" s="525"/>
      <c r="OHW3" s="525"/>
      <c r="OHX3" s="525"/>
      <c r="OHY3" s="525"/>
      <c r="OHZ3" s="525"/>
      <c r="OIA3" s="525"/>
      <c r="OIB3" s="525"/>
      <c r="OIC3" s="525"/>
      <c r="OID3" s="525"/>
      <c r="OIE3" s="525"/>
      <c r="OIF3" s="525"/>
      <c r="OIG3" s="525"/>
      <c r="OIH3" s="525"/>
      <c r="OII3" s="525"/>
      <c r="OIJ3" s="525"/>
      <c r="OIK3" s="525"/>
      <c r="OIL3" s="525"/>
      <c r="OIM3" s="525"/>
      <c r="OIN3" s="525"/>
      <c r="OIO3" s="525"/>
      <c r="OIP3" s="525"/>
      <c r="OIQ3" s="525"/>
      <c r="OIR3" s="525"/>
      <c r="OIS3" s="525"/>
      <c r="OIT3" s="525"/>
      <c r="OIU3" s="525"/>
      <c r="OIV3" s="525"/>
      <c r="OIW3" s="525"/>
      <c r="OIX3" s="525"/>
      <c r="OIY3" s="525"/>
      <c r="OIZ3" s="525"/>
      <c r="OJA3" s="525"/>
      <c r="OJB3" s="525"/>
      <c r="OJC3" s="525"/>
      <c r="OJD3" s="525"/>
      <c r="OJE3" s="525"/>
      <c r="OJF3" s="525"/>
      <c r="OJG3" s="525"/>
      <c r="OJH3" s="525"/>
      <c r="OJI3" s="525"/>
      <c r="OJJ3" s="525"/>
      <c r="OJK3" s="525"/>
      <c r="OJL3" s="525"/>
      <c r="OJM3" s="525"/>
      <c r="OJN3" s="525"/>
      <c r="OJO3" s="525"/>
      <c r="OJP3" s="525"/>
      <c r="OJQ3" s="525"/>
      <c r="OJR3" s="525"/>
      <c r="OJS3" s="525"/>
      <c r="OJT3" s="525"/>
      <c r="OJU3" s="525"/>
      <c r="OJV3" s="525"/>
      <c r="OJW3" s="525"/>
      <c r="OJX3" s="525"/>
      <c r="OJY3" s="525"/>
      <c r="OJZ3" s="525"/>
      <c r="OKA3" s="525"/>
      <c r="OKB3" s="525"/>
      <c r="OKC3" s="525"/>
      <c r="OKD3" s="525"/>
      <c r="OKE3" s="525"/>
      <c r="OKF3" s="525"/>
      <c r="OKG3" s="525"/>
      <c r="OKH3" s="525"/>
      <c r="OKI3" s="525"/>
      <c r="OKJ3" s="525"/>
      <c r="OKK3" s="525"/>
      <c r="OKL3" s="525"/>
      <c r="OKM3" s="525"/>
      <c r="OKN3" s="525"/>
      <c r="OKO3" s="525"/>
      <c r="OKP3" s="525"/>
      <c r="OKQ3" s="525"/>
      <c r="OKR3" s="525"/>
      <c r="OKS3" s="525"/>
      <c r="OKT3" s="525"/>
      <c r="OKU3" s="525"/>
      <c r="OKV3" s="525"/>
      <c r="OKW3" s="525"/>
      <c r="OKX3" s="525"/>
      <c r="OKY3" s="525"/>
      <c r="OKZ3" s="525"/>
      <c r="OLA3" s="525"/>
      <c r="OLB3" s="525"/>
      <c r="OLC3" s="525"/>
      <c r="OLD3" s="525"/>
      <c r="OLE3" s="525"/>
      <c r="OLF3" s="525"/>
      <c r="OLG3" s="525"/>
      <c r="OLH3" s="525"/>
      <c r="OLI3" s="525"/>
      <c r="OLJ3" s="525"/>
      <c r="OLK3" s="525"/>
      <c r="OLL3" s="525"/>
      <c r="OLM3" s="525"/>
      <c r="OLN3" s="525"/>
      <c r="OLO3" s="525"/>
      <c r="OLP3" s="525"/>
      <c r="OLQ3" s="525"/>
      <c r="OLR3" s="525"/>
      <c r="OLS3" s="525"/>
      <c r="OLT3" s="525"/>
      <c r="OLU3" s="525"/>
      <c r="OLV3" s="525"/>
      <c r="OLW3" s="525"/>
      <c r="OLX3" s="525"/>
      <c r="OLY3" s="525"/>
      <c r="OLZ3" s="525"/>
      <c r="OMA3" s="525"/>
      <c r="OMB3" s="525"/>
      <c r="OMC3" s="525"/>
      <c r="OMD3" s="525"/>
      <c r="OME3" s="525"/>
      <c r="OMF3" s="525"/>
      <c r="OMG3" s="525"/>
      <c r="OMH3" s="525"/>
      <c r="OMI3" s="525"/>
      <c r="OMJ3" s="525"/>
      <c r="OMK3" s="525"/>
      <c r="OML3" s="525"/>
      <c r="OMM3" s="525"/>
      <c r="OMN3" s="525"/>
      <c r="OMO3" s="525"/>
      <c r="OMP3" s="525"/>
      <c r="OMQ3" s="525"/>
      <c r="OMR3" s="525"/>
      <c r="OMS3" s="525"/>
      <c r="OMT3" s="525"/>
      <c r="OMU3" s="525"/>
      <c r="OMV3" s="525"/>
      <c r="OMW3" s="525"/>
      <c r="OMX3" s="525"/>
      <c r="OMY3" s="525"/>
      <c r="OMZ3" s="525"/>
      <c r="ONA3" s="525"/>
      <c r="ONB3" s="525"/>
      <c r="ONC3" s="525"/>
      <c r="OND3" s="525"/>
      <c r="ONE3" s="525"/>
      <c r="ONF3" s="525"/>
      <c r="ONG3" s="525"/>
      <c r="ONH3" s="525"/>
      <c r="ONI3" s="525"/>
      <c r="ONJ3" s="525"/>
      <c r="ONK3" s="525"/>
      <c r="ONL3" s="525"/>
      <c r="ONM3" s="525"/>
      <c r="ONN3" s="525"/>
      <c r="ONO3" s="525"/>
      <c r="ONP3" s="525"/>
      <c r="ONQ3" s="525"/>
      <c r="ONR3" s="525"/>
      <c r="ONS3" s="525"/>
      <c r="ONT3" s="525"/>
      <c r="ONU3" s="525"/>
      <c r="ONV3" s="525"/>
      <c r="ONW3" s="525"/>
      <c r="ONX3" s="525"/>
      <c r="ONY3" s="525"/>
      <c r="ONZ3" s="525"/>
      <c r="OOA3" s="525"/>
      <c r="OOB3" s="525"/>
      <c r="OOC3" s="525"/>
      <c r="OOD3" s="525"/>
      <c r="OOE3" s="525"/>
      <c r="OOF3" s="525"/>
      <c r="OOG3" s="525"/>
      <c r="OOH3" s="525"/>
      <c r="OOI3" s="525"/>
      <c r="OOJ3" s="525"/>
      <c r="OOK3" s="525"/>
      <c r="OOL3" s="525"/>
      <c r="OOM3" s="525"/>
      <c r="OON3" s="525"/>
      <c r="OOO3" s="525"/>
      <c r="OOP3" s="525"/>
      <c r="OOQ3" s="525"/>
      <c r="OOR3" s="525"/>
      <c r="OOS3" s="525"/>
      <c r="OOT3" s="525"/>
      <c r="OOU3" s="525"/>
      <c r="OOV3" s="525"/>
      <c r="OOW3" s="525"/>
      <c r="OOX3" s="525"/>
      <c r="OOY3" s="525"/>
      <c r="OOZ3" s="525"/>
      <c r="OPA3" s="525"/>
      <c r="OPB3" s="525"/>
      <c r="OPC3" s="525"/>
      <c r="OPD3" s="525"/>
      <c r="OPE3" s="525"/>
      <c r="OPF3" s="525"/>
      <c r="OPG3" s="525"/>
      <c r="OPH3" s="525"/>
      <c r="OPI3" s="525"/>
      <c r="OPJ3" s="525"/>
      <c r="OPK3" s="525"/>
      <c r="OPL3" s="525"/>
      <c r="OPM3" s="525"/>
      <c r="OPN3" s="525"/>
      <c r="OPO3" s="525"/>
      <c r="OPP3" s="525"/>
      <c r="OPQ3" s="525"/>
      <c r="OPR3" s="525"/>
      <c r="OPS3" s="525"/>
      <c r="OPT3" s="525"/>
      <c r="OPU3" s="525"/>
      <c r="OPV3" s="525"/>
      <c r="OPW3" s="525"/>
      <c r="OPX3" s="525"/>
      <c r="OPY3" s="525"/>
      <c r="OPZ3" s="525"/>
      <c r="OQA3" s="525"/>
      <c r="OQB3" s="525"/>
      <c r="OQC3" s="525"/>
      <c r="OQD3" s="525"/>
      <c r="OQE3" s="525"/>
      <c r="OQF3" s="525"/>
      <c r="OQG3" s="525"/>
      <c r="OQH3" s="525"/>
      <c r="OQI3" s="525"/>
      <c r="OQJ3" s="525"/>
      <c r="OQK3" s="525"/>
      <c r="OQL3" s="525"/>
      <c r="OQM3" s="525"/>
      <c r="OQN3" s="525"/>
      <c r="OQO3" s="525"/>
      <c r="OQP3" s="525"/>
      <c r="OQQ3" s="525"/>
      <c r="OQR3" s="525"/>
      <c r="OQS3" s="525"/>
      <c r="OQT3" s="525"/>
      <c r="OQU3" s="525"/>
      <c r="OQV3" s="525"/>
      <c r="OQW3" s="525"/>
      <c r="OQX3" s="525"/>
      <c r="OQY3" s="525"/>
      <c r="OQZ3" s="525"/>
      <c r="ORA3" s="525"/>
      <c r="ORB3" s="525"/>
      <c r="ORC3" s="525"/>
      <c r="ORD3" s="525"/>
      <c r="ORE3" s="525"/>
      <c r="ORF3" s="525"/>
      <c r="ORG3" s="525"/>
      <c r="ORH3" s="525"/>
      <c r="ORI3" s="525"/>
      <c r="ORJ3" s="525"/>
      <c r="ORK3" s="525"/>
      <c r="ORL3" s="525"/>
      <c r="ORM3" s="525"/>
      <c r="ORN3" s="525"/>
      <c r="ORO3" s="525"/>
      <c r="ORP3" s="525"/>
      <c r="ORQ3" s="525"/>
      <c r="ORR3" s="525"/>
      <c r="ORS3" s="525"/>
      <c r="ORT3" s="525"/>
      <c r="ORU3" s="525"/>
      <c r="ORV3" s="525"/>
      <c r="ORW3" s="525"/>
      <c r="ORX3" s="525"/>
      <c r="ORY3" s="525"/>
      <c r="ORZ3" s="525"/>
      <c r="OSA3" s="525"/>
      <c r="OSB3" s="525"/>
      <c r="OSC3" s="525"/>
      <c r="OSD3" s="525"/>
      <c r="OSE3" s="525"/>
      <c r="OSF3" s="525"/>
      <c r="OSG3" s="525"/>
      <c r="OSH3" s="525"/>
      <c r="OSI3" s="525"/>
      <c r="OSJ3" s="525"/>
      <c r="OSK3" s="525"/>
      <c r="OSL3" s="525"/>
      <c r="OSM3" s="525"/>
      <c r="OSN3" s="525"/>
      <c r="OSO3" s="525"/>
      <c r="OSP3" s="525"/>
      <c r="OSQ3" s="525"/>
      <c r="OSR3" s="525"/>
      <c r="OSS3" s="525"/>
      <c r="OST3" s="525"/>
      <c r="OSU3" s="525"/>
      <c r="OSV3" s="525"/>
      <c r="OSW3" s="525"/>
      <c r="OSX3" s="525"/>
      <c r="OSY3" s="525"/>
      <c r="OSZ3" s="525"/>
      <c r="OTA3" s="525"/>
      <c r="OTB3" s="525"/>
      <c r="OTC3" s="525"/>
      <c r="OTD3" s="525"/>
      <c r="OTE3" s="525"/>
      <c r="OTF3" s="525"/>
      <c r="OTG3" s="525"/>
      <c r="OTH3" s="525"/>
      <c r="OTI3" s="525"/>
      <c r="OTJ3" s="525"/>
      <c r="OTK3" s="525"/>
      <c r="OTL3" s="525"/>
      <c r="OTM3" s="525"/>
      <c r="OTN3" s="525"/>
      <c r="OTO3" s="525"/>
      <c r="OTP3" s="525"/>
      <c r="OTQ3" s="525"/>
      <c r="OTR3" s="525"/>
      <c r="OTS3" s="525"/>
      <c r="OTT3" s="525"/>
      <c r="OTU3" s="525"/>
      <c r="OTV3" s="525"/>
      <c r="OTW3" s="525"/>
      <c r="OTX3" s="525"/>
      <c r="OTY3" s="525"/>
      <c r="OTZ3" s="525"/>
      <c r="OUA3" s="525"/>
      <c r="OUB3" s="525"/>
      <c r="OUC3" s="525"/>
      <c r="OUD3" s="525"/>
      <c r="OUE3" s="525"/>
      <c r="OUF3" s="525"/>
      <c r="OUG3" s="525"/>
      <c r="OUH3" s="525"/>
      <c r="OUI3" s="525"/>
      <c r="OUJ3" s="525"/>
      <c r="OUK3" s="525"/>
      <c r="OUL3" s="525"/>
      <c r="OUM3" s="525"/>
      <c r="OUN3" s="525"/>
      <c r="OUO3" s="525"/>
      <c r="OUP3" s="525"/>
      <c r="OUQ3" s="525"/>
      <c r="OUR3" s="525"/>
      <c r="OUS3" s="525"/>
      <c r="OUT3" s="525"/>
      <c r="OUU3" s="525"/>
      <c r="OUV3" s="525"/>
      <c r="OUW3" s="525"/>
      <c r="OUX3" s="525"/>
      <c r="OUY3" s="525"/>
      <c r="OUZ3" s="525"/>
      <c r="OVA3" s="525"/>
      <c r="OVB3" s="525"/>
      <c r="OVC3" s="525"/>
      <c r="OVD3" s="525"/>
      <c r="OVE3" s="525"/>
      <c r="OVF3" s="525"/>
      <c r="OVG3" s="525"/>
      <c r="OVH3" s="525"/>
      <c r="OVI3" s="525"/>
      <c r="OVJ3" s="525"/>
      <c r="OVK3" s="525"/>
      <c r="OVL3" s="525"/>
      <c r="OVM3" s="525"/>
      <c r="OVN3" s="525"/>
      <c r="OVO3" s="525"/>
      <c r="OVP3" s="525"/>
      <c r="OVQ3" s="525"/>
      <c r="OVR3" s="525"/>
      <c r="OVS3" s="525"/>
      <c r="OVT3" s="525"/>
      <c r="OVU3" s="525"/>
      <c r="OVV3" s="525"/>
      <c r="OVW3" s="525"/>
      <c r="OVX3" s="525"/>
      <c r="OVY3" s="525"/>
      <c r="OVZ3" s="525"/>
      <c r="OWA3" s="525"/>
      <c r="OWB3" s="525"/>
      <c r="OWC3" s="525"/>
      <c r="OWD3" s="525"/>
      <c r="OWE3" s="525"/>
      <c r="OWF3" s="525"/>
      <c r="OWG3" s="525"/>
      <c r="OWH3" s="525"/>
      <c r="OWI3" s="525"/>
      <c r="OWJ3" s="525"/>
      <c r="OWK3" s="525"/>
      <c r="OWL3" s="525"/>
      <c r="OWM3" s="525"/>
      <c r="OWN3" s="525"/>
      <c r="OWO3" s="525"/>
      <c r="OWP3" s="525"/>
      <c r="OWQ3" s="525"/>
      <c r="OWR3" s="525"/>
      <c r="OWS3" s="525"/>
      <c r="OWT3" s="525"/>
      <c r="OWU3" s="525"/>
      <c r="OWV3" s="525"/>
      <c r="OWW3" s="525"/>
      <c r="OWX3" s="525"/>
      <c r="OWY3" s="525"/>
      <c r="OWZ3" s="525"/>
      <c r="OXA3" s="525"/>
      <c r="OXB3" s="525"/>
      <c r="OXC3" s="525"/>
      <c r="OXD3" s="525"/>
      <c r="OXE3" s="525"/>
      <c r="OXF3" s="525"/>
      <c r="OXG3" s="525"/>
      <c r="OXH3" s="525"/>
      <c r="OXI3" s="525"/>
      <c r="OXJ3" s="525"/>
      <c r="OXK3" s="525"/>
      <c r="OXL3" s="525"/>
      <c r="OXM3" s="525"/>
      <c r="OXN3" s="525"/>
      <c r="OXO3" s="525"/>
      <c r="OXP3" s="525"/>
      <c r="OXQ3" s="525"/>
      <c r="OXR3" s="525"/>
      <c r="OXS3" s="525"/>
      <c r="OXT3" s="525"/>
      <c r="OXU3" s="525"/>
      <c r="OXV3" s="525"/>
      <c r="OXW3" s="525"/>
      <c r="OXX3" s="525"/>
      <c r="OXY3" s="525"/>
      <c r="OXZ3" s="525"/>
      <c r="OYA3" s="525"/>
      <c r="OYB3" s="525"/>
      <c r="OYC3" s="525"/>
      <c r="OYD3" s="525"/>
      <c r="OYE3" s="525"/>
      <c r="OYF3" s="525"/>
      <c r="OYG3" s="525"/>
      <c r="OYH3" s="525"/>
      <c r="OYI3" s="525"/>
      <c r="OYJ3" s="525"/>
      <c r="OYK3" s="525"/>
      <c r="OYL3" s="525"/>
      <c r="OYM3" s="525"/>
      <c r="OYN3" s="525"/>
      <c r="OYO3" s="525"/>
      <c r="OYP3" s="525"/>
      <c r="OYQ3" s="525"/>
      <c r="OYR3" s="525"/>
      <c r="OYS3" s="525"/>
      <c r="OYT3" s="525"/>
      <c r="OYU3" s="525"/>
      <c r="OYV3" s="525"/>
      <c r="OYW3" s="525"/>
      <c r="OYX3" s="525"/>
      <c r="OYY3" s="525"/>
      <c r="OYZ3" s="525"/>
      <c r="OZA3" s="525"/>
      <c r="OZB3" s="525"/>
      <c r="OZC3" s="525"/>
      <c r="OZD3" s="525"/>
      <c r="OZE3" s="525"/>
      <c r="OZF3" s="525"/>
      <c r="OZG3" s="525"/>
      <c r="OZH3" s="525"/>
      <c r="OZI3" s="525"/>
      <c r="OZJ3" s="525"/>
      <c r="OZK3" s="525"/>
      <c r="OZL3" s="525"/>
      <c r="OZM3" s="525"/>
      <c r="OZN3" s="525"/>
      <c r="OZO3" s="525"/>
      <c r="OZP3" s="525"/>
      <c r="OZQ3" s="525"/>
      <c r="OZR3" s="525"/>
      <c r="OZS3" s="525"/>
      <c r="OZT3" s="525"/>
      <c r="OZU3" s="525"/>
      <c r="OZV3" s="525"/>
      <c r="OZW3" s="525"/>
      <c r="OZX3" s="525"/>
      <c r="OZY3" s="525"/>
      <c r="OZZ3" s="525"/>
      <c r="PAA3" s="525"/>
      <c r="PAB3" s="525"/>
      <c r="PAC3" s="525"/>
      <c r="PAD3" s="525"/>
      <c r="PAE3" s="525"/>
      <c r="PAF3" s="525"/>
      <c r="PAG3" s="525"/>
      <c r="PAH3" s="525"/>
      <c r="PAI3" s="525"/>
      <c r="PAJ3" s="525"/>
      <c r="PAK3" s="525"/>
      <c r="PAL3" s="525"/>
      <c r="PAM3" s="525"/>
      <c r="PAN3" s="525"/>
      <c r="PAO3" s="525"/>
      <c r="PAP3" s="525"/>
      <c r="PAQ3" s="525"/>
      <c r="PAR3" s="525"/>
      <c r="PAS3" s="525"/>
      <c r="PAT3" s="525"/>
      <c r="PAU3" s="525"/>
      <c r="PAV3" s="525"/>
      <c r="PAW3" s="525"/>
      <c r="PAX3" s="525"/>
      <c r="PAY3" s="525"/>
      <c r="PAZ3" s="525"/>
      <c r="PBA3" s="525"/>
      <c r="PBB3" s="525"/>
      <c r="PBC3" s="525"/>
      <c r="PBD3" s="525"/>
      <c r="PBE3" s="525"/>
      <c r="PBF3" s="525"/>
      <c r="PBG3" s="525"/>
      <c r="PBH3" s="525"/>
      <c r="PBI3" s="525"/>
      <c r="PBJ3" s="525"/>
      <c r="PBK3" s="525"/>
      <c r="PBL3" s="525"/>
      <c r="PBM3" s="525"/>
      <c r="PBN3" s="525"/>
      <c r="PBO3" s="525"/>
      <c r="PBP3" s="525"/>
      <c r="PBQ3" s="525"/>
      <c r="PBR3" s="525"/>
      <c r="PBS3" s="525"/>
      <c r="PBT3" s="525"/>
      <c r="PBU3" s="525"/>
      <c r="PBV3" s="525"/>
      <c r="PBW3" s="525"/>
      <c r="PBX3" s="525"/>
      <c r="PBY3" s="525"/>
      <c r="PBZ3" s="525"/>
      <c r="PCA3" s="525"/>
      <c r="PCB3" s="525"/>
      <c r="PCC3" s="525"/>
      <c r="PCD3" s="525"/>
      <c r="PCE3" s="525"/>
      <c r="PCF3" s="525"/>
      <c r="PCG3" s="525"/>
      <c r="PCH3" s="525"/>
      <c r="PCI3" s="525"/>
      <c r="PCJ3" s="525"/>
      <c r="PCK3" s="525"/>
      <c r="PCL3" s="525"/>
      <c r="PCM3" s="525"/>
      <c r="PCN3" s="525"/>
      <c r="PCO3" s="525"/>
      <c r="PCP3" s="525"/>
      <c r="PCQ3" s="525"/>
      <c r="PCR3" s="525"/>
      <c r="PCS3" s="525"/>
      <c r="PCT3" s="525"/>
      <c r="PCU3" s="525"/>
      <c r="PCV3" s="525"/>
      <c r="PCW3" s="525"/>
      <c r="PCX3" s="525"/>
      <c r="PCY3" s="525"/>
      <c r="PCZ3" s="525"/>
      <c r="PDA3" s="525"/>
      <c r="PDB3" s="525"/>
      <c r="PDC3" s="525"/>
      <c r="PDD3" s="525"/>
      <c r="PDE3" s="525"/>
      <c r="PDF3" s="525"/>
      <c r="PDG3" s="525"/>
      <c r="PDH3" s="525"/>
      <c r="PDI3" s="525"/>
      <c r="PDJ3" s="525"/>
      <c r="PDK3" s="525"/>
      <c r="PDL3" s="525"/>
      <c r="PDM3" s="525"/>
      <c r="PDN3" s="525"/>
      <c r="PDO3" s="525"/>
      <c r="PDP3" s="525"/>
      <c r="PDQ3" s="525"/>
      <c r="PDR3" s="525"/>
      <c r="PDS3" s="525"/>
      <c r="PDT3" s="525"/>
      <c r="PDU3" s="525"/>
      <c r="PDV3" s="525"/>
      <c r="PDW3" s="525"/>
      <c r="PDX3" s="525"/>
      <c r="PDY3" s="525"/>
      <c r="PDZ3" s="525"/>
      <c r="PEA3" s="525"/>
      <c r="PEB3" s="525"/>
      <c r="PEC3" s="525"/>
      <c r="PED3" s="525"/>
      <c r="PEE3" s="525"/>
      <c r="PEF3" s="525"/>
      <c r="PEG3" s="525"/>
      <c r="PEH3" s="525"/>
      <c r="PEI3" s="525"/>
      <c r="PEJ3" s="525"/>
      <c r="PEK3" s="525"/>
      <c r="PEL3" s="525"/>
      <c r="PEM3" s="525"/>
      <c r="PEN3" s="525"/>
      <c r="PEO3" s="525"/>
      <c r="PEP3" s="525"/>
      <c r="PEQ3" s="525"/>
      <c r="PER3" s="525"/>
      <c r="PES3" s="525"/>
      <c r="PET3" s="525"/>
      <c r="PEU3" s="525"/>
      <c r="PEV3" s="525"/>
      <c r="PEW3" s="525"/>
      <c r="PEX3" s="525"/>
      <c r="PEY3" s="525"/>
      <c r="PEZ3" s="525"/>
      <c r="PFA3" s="525"/>
      <c r="PFB3" s="525"/>
      <c r="PFC3" s="525"/>
      <c r="PFD3" s="525"/>
      <c r="PFE3" s="525"/>
      <c r="PFF3" s="525"/>
      <c r="PFG3" s="525"/>
      <c r="PFH3" s="525"/>
      <c r="PFI3" s="525"/>
      <c r="PFJ3" s="525"/>
      <c r="PFK3" s="525"/>
      <c r="PFL3" s="525"/>
      <c r="PFM3" s="525"/>
      <c r="PFN3" s="525"/>
      <c r="PFO3" s="525"/>
      <c r="PFP3" s="525"/>
      <c r="PFQ3" s="525"/>
      <c r="PFR3" s="525"/>
      <c r="PFS3" s="525"/>
      <c r="PFT3" s="525"/>
      <c r="PFU3" s="525"/>
      <c r="PFV3" s="525"/>
      <c r="PFW3" s="525"/>
      <c r="PFX3" s="525"/>
      <c r="PFY3" s="525"/>
      <c r="PFZ3" s="525"/>
      <c r="PGA3" s="525"/>
      <c r="PGB3" s="525"/>
      <c r="PGC3" s="525"/>
      <c r="PGD3" s="525"/>
      <c r="PGE3" s="525"/>
      <c r="PGF3" s="525"/>
      <c r="PGG3" s="525"/>
      <c r="PGH3" s="525"/>
      <c r="PGI3" s="525"/>
      <c r="PGJ3" s="525"/>
      <c r="PGK3" s="525"/>
      <c r="PGL3" s="525"/>
      <c r="PGM3" s="525"/>
      <c r="PGN3" s="525"/>
      <c r="PGO3" s="525"/>
      <c r="PGP3" s="525"/>
      <c r="PGQ3" s="525"/>
      <c r="PGR3" s="525"/>
      <c r="PGS3" s="525"/>
      <c r="PGT3" s="525"/>
      <c r="PGU3" s="525"/>
      <c r="PGV3" s="525"/>
      <c r="PGW3" s="525"/>
      <c r="PGX3" s="525"/>
      <c r="PGY3" s="525"/>
      <c r="PGZ3" s="525"/>
      <c r="PHA3" s="525"/>
      <c r="PHB3" s="525"/>
      <c r="PHC3" s="525"/>
      <c r="PHD3" s="525"/>
      <c r="PHE3" s="525"/>
      <c r="PHF3" s="525"/>
      <c r="PHG3" s="525"/>
      <c r="PHH3" s="525"/>
      <c r="PHI3" s="525"/>
      <c r="PHJ3" s="525"/>
      <c r="PHK3" s="525"/>
      <c r="PHL3" s="525"/>
      <c r="PHM3" s="525"/>
      <c r="PHN3" s="525"/>
      <c r="PHO3" s="525"/>
      <c r="PHP3" s="525"/>
      <c r="PHQ3" s="525"/>
      <c r="PHR3" s="525"/>
      <c r="PHS3" s="525"/>
      <c r="PHT3" s="525"/>
      <c r="PHU3" s="525"/>
      <c r="PHV3" s="525"/>
      <c r="PHW3" s="525"/>
      <c r="PHX3" s="525"/>
      <c r="PHY3" s="525"/>
      <c r="PHZ3" s="525"/>
      <c r="PIA3" s="525"/>
      <c r="PIB3" s="525"/>
      <c r="PIC3" s="525"/>
      <c r="PID3" s="525"/>
      <c r="PIE3" s="525"/>
      <c r="PIF3" s="525"/>
      <c r="PIG3" s="525"/>
      <c r="PIH3" s="525"/>
      <c r="PII3" s="525"/>
      <c r="PIJ3" s="525"/>
      <c r="PIK3" s="525"/>
      <c r="PIL3" s="525"/>
      <c r="PIM3" s="525"/>
      <c r="PIN3" s="525"/>
      <c r="PIO3" s="525"/>
      <c r="PIP3" s="525"/>
      <c r="PIQ3" s="525"/>
      <c r="PIR3" s="525"/>
      <c r="PIS3" s="525"/>
      <c r="PIT3" s="525"/>
      <c r="PIU3" s="525"/>
      <c r="PIV3" s="525"/>
      <c r="PIW3" s="525"/>
      <c r="PIX3" s="525"/>
      <c r="PIY3" s="525"/>
      <c r="PIZ3" s="525"/>
      <c r="PJA3" s="525"/>
      <c r="PJB3" s="525"/>
      <c r="PJC3" s="525"/>
      <c r="PJD3" s="525"/>
      <c r="PJE3" s="525"/>
      <c r="PJF3" s="525"/>
      <c r="PJG3" s="525"/>
      <c r="PJH3" s="525"/>
      <c r="PJI3" s="525"/>
      <c r="PJJ3" s="525"/>
      <c r="PJK3" s="525"/>
      <c r="PJL3" s="525"/>
      <c r="PJM3" s="525"/>
      <c r="PJN3" s="525"/>
      <c r="PJO3" s="525"/>
      <c r="PJP3" s="525"/>
      <c r="PJQ3" s="525"/>
      <c r="PJR3" s="525"/>
      <c r="PJS3" s="525"/>
      <c r="PJT3" s="525"/>
      <c r="PJU3" s="525"/>
      <c r="PJV3" s="525"/>
      <c r="PJW3" s="525"/>
      <c r="PJX3" s="525"/>
      <c r="PJY3" s="525"/>
      <c r="PJZ3" s="525"/>
      <c r="PKA3" s="525"/>
      <c r="PKB3" s="525"/>
      <c r="PKC3" s="525"/>
      <c r="PKD3" s="525"/>
      <c r="PKE3" s="525"/>
      <c r="PKF3" s="525"/>
      <c r="PKG3" s="525"/>
      <c r="PKH3" s="525"/>
      <c r="PKI3" s="525"/>
      <c r="PKJ3" s="525"/>
      <c r="PKK3" s="525"/>
      <c r="PKL3" s="525"/>
      <c r="PKM3" s="525"/>
      <c r="PKN3" s="525"/>
      <c r="PKO3" s="525"/>
      <c r="PKP3" s="525"/>
      <c r="PKQ3" s="525"/>
      <c r="PKR3" s="525"/>
      <c r="PKS3" s="525"/>
      <c r="PKT3" s="525"/>
      <c r="PKU3" s="525"/>
      <c r="PKV3" s="525"/>
      <c r="PKW3" s="525"/>
      <c r="PKX3" s="525"/>
      <c r="PKY3" s="525"/>
      <c r="PKZ3" s="525"/>
      <c r="PLA3" s="525"/>
      <c r="PLB3" s="525"/>
      <c r="PLC3" s="525"/>
      <c r="PLD3" s="525"/>
      <c r="PLE3" s="525"/>
      <c r="PLF3" s="525"/>
      <c r="PLG3" s="525"/>
      <c r="PLH3" s="525"/>
      <c r="PLI3" s="525"/>
      <c r="PLJ3" s="525"/>
      <c r="PLK3" s="525"/>
      <c r="PLL3" s="525"/>
      <c r="PLM3" s="525"/>
      <c r="PLN3" s="525"/>
      <c r="PLO3" s="525"/>
      <c r="PLP3" s="525"/>
      <c r="PLQ3" s="525"/>
      <c r="PLR3" s="525"/>
      <c r="PLS3" s="525"/>
      <c r="PLT3" s="525"/>
      <c r="PLU3" s="525"/>
      <c r="PLV3" s="525"/>
      <c r="PLW3" s="525"/>
      <c r="PLX3" s="525"/>
      <c r="PLY3" s="525"/>
      <c r="PLZ3" s="525"/>
      <c r="PMA3" s="525"/>
      <c r="PMB3" s="525"/>
      <c r="PMC3" s="525"/>
      <c r="PMD3" s="525"/>
      <c r="PME3" s="525"/>
      <c r="PMF3" s="525"/>
      <c r="PMG3" s="525"/>
      <c r="PMH3" s="525"/>
      <c r="PMI3" s="525"/>
      <c r="PMJ3" s="525"/>
      <c r="PMK3" s="525"/>
      <c r="PML3" s="525"/>
      <c r="PMM3" s="525"/>
      <c r="PMN3" s="525"/>
      <c r="PMO3" s="525"/>
      <c r="PMP3" s="525"/>
      <c r="PMQ3" s="525"/>
      <c r="PMR3" s="525"/>
      <c r="PMS3" s="525"/>
      <c r="PMT3" s="525"/>
      <c r="PMU3" s="525"/>
      <c r="PMV3" s="525"/>
      <c r="PMW3" s="525"/>
      <c r="PMX3" s="525"/>
      <c r="PMY3" s="525"/>
      <c r="PMZ3" s="525"/>
      <c r="PNA3" s="525"/>
      <c r="PNB3" s="525"/>
      <c r="PNC3" s="525"/>
      <c r="PND3" s="525"/>
      <c r="PNE3" s="525"/>
      <c r="PNF3" s="525"/>
      <c r="PNG3" s="525"/>
      <c r="PNH3" s="525"/>
      <c r="PNI3" s="525"/>
      <c r="PNJ3" s="525"/>
      <c r="PNK3" s="525"/>
      <c r="PNL3" s="525"/>
      <c r="PNM3" s="525"/>
      <c r="PNN3" s="525"/>
      <c r="PNO3" s="525"/>
      <c r="PNP3" s="525"/>
      <c r="PNQ3" s="525"/>
      <c r="PNR3" s="525"/>
      <c r="PNS3" s="525"/>
      <c r="PNT3" s="525"/>
      <c r="PNU3" s="525"/>
      <c r="PNV3" s="525"/>
      <c r="PNW3" s="525"/>
      <c r="PNX3" s="525"/>
      <c r="PNY3" s="525"/>
      <c r="PNZ3" s="525"/>
      <c r="POA3" s="525"/>
      <c r="POB3" s="525"/>
      <c r="POC3" s="525"/>
      <c r="POD3" s="525"/>
      <c r="POE3" s="525"/>
      <c r="POF3" s="525"/>
      <c r="POG3" s="525"/>
      <c r="POH3" s="525"/>
      <c r="POI3" s="525"/>
      <c r="POJ3" s="525"/>
      <c r="POK3" s="525"/>
      <c r="POL3" s="525"/>
      <c r="POM3" s="525"/>
      <c r="PON3" s="525"/>
      <c r="POO3" s="525"/>
      <c r="POP3" s="525"/>
      <c r="POQ3" s="525"/>
      <c r="POR3" s="525"/>
      <c r="POS3" s="525"/>
      <c r="POT3" s="525"/>
      <c r="POU3" s="525"/>
      <c r="POV3" s="525"/>
      <c r="POW3" s="525"/>
      <c r="POX3" s="525"/>
      <c r="POY3" s="525"/>
      <c r="POZ3" s="525"/>
      <c r="PPA3" s="525"/>
      <c r="PPB3" s="525"/>
      <c r="PPC3" s="525"/>
      <c r="PPD3" s="525"/>
      <c r="PPE3" s="525"/>
      <c r="PPF3" s="525"/>
      <c r="PPG3" s="525"/>
      <c r="PPH3" s="525"/>
      <c r="PPI3" s="525"/>
      <c r="PPJ3" s="525"/>
      <c r="PPK3" s="525"/>
      <c r="PPL3" s="525"/>
      <c r="PPM3" s="525"/>
      <c r="PPN3" s="525"/>
      <c r="PPO3" s="525"/>
      <c r="PPP3" s="525"/>
      <c r="PPQ3" s="525"/>
      <c r="PPR3" s="525"/>
      <c r="PPS3" s="525"/>
      <c r="PPT3" s="525"/>
      <c r="PPU3" s="525"/>
      <c r="PPV3" s="525"/>
      <c r="PPW3" s="525"/>
      <c r="PPX3" s="525"/>
      <c r="PPY3" s="525"/>
      <c r="PPZ3" s="525"/>
      <c r="PQA3" s="525"/>
      <c r="PQB3" s="525"/>
      <c r="PQC3" s="525"/>
      <c r="PQD3" s="525"/>
      <c r="PQE3" s="525"/>
      <c r="PQF3" s="525"/>
      <c r="PQG3" s="525"/>
      <c r="PQH3" s="525"/>
      <c r="PQI3" s="525"/>
      <c r="PQJ3" s="525"/>
      <c r="PQK3" s="525"/>
      <c r="PQL3" s="525"/>
      <c r="PQM3" s="525"/>
      <c r="PQN3" s="525"/>
      <c r="PQO3" s="525"/>
      <c r="PQP3" s="525"/>
      <c r="PQQ3" s="525"/>
      <c r="PQR3" s="525"/>
      <c r="PQS3" s="525"/>
      <c r="PQT3" s="525"/>
      <c r="PQU3" s="525"/>
      <c r="PQV3" s="525"/>
      <c r="PQW3" s="525"/>
      <c r="PQX3" s="525"/>
      <c r="PQY3" s="525"/>
      <c r="PQZ3" s="525"/>
      <c r="PRA3" s="525"/>
      <c r="PRB3" s="525"/>
      <c r="PRC3" s="525"/>
      <c r="PRD3" s="525"/>
      <c r="PRE3" s="525"/>
      <c r="PRF3" s="525"/>
      <c r="PRG3" s="525"/>
      <c r="PRH3" s="525"/>
      <c r="PRI3" s="525"/>
      <c r="PRJ3" s="525"/>
      <c r="PRK3" s="525"/>
      <c r="PRL3" s="525"/>
      <c r="PRM3" s="525"/>
      <c r="PRN3" s="525"/>
      <c r="PRO3" s="525"/>
      <c r="PRP3" s="525"/>
      <c r="PRQ3" s="525"/>
      <c r="PRR3" s="525"/>
      <c r="PRS3" s="525"/>
      <c r="PRT3" s="525"/>
      <c r="PRU3" s="525"/>
      <c r="PRV3" s="525"/>
      <c r="PRW3" s="525"/>
      <c r="PRX3" s="525"/>
      <c r="PRY3" s="525"/>
      <c r="PRZ3" s="525"/>
      <c r="PSA3" s="525"/>
      <c r="PSB3" s="525"/>
      <c r="PSC3" s="525"/>
      <c r="PSD3" s="525"/>
      <c r="PSE3" s="525"/>
      <c r="PSF3" s="525"/>
      <c r="PSG3" s="525"/>
      <c r="PSH3" s="525"/>
      <c r="PSI3" s="525"/>
      <c r="PSJ3" s="525"/>
      <c r="PSK3" s="525"/>
      <c r="PSL3" s="525"/>
      <c r="PSM3" s="525"/>
      <c r="PSN3" s="525"/>
      <c r="PSO3" s="525"/>
      <c r="PSP3" s="525"/>
      <c r="PSQ3" s="525"/>
      <c r="PSR3" s="525"/>
      <c r="PSS3" s="525"/>
      <c r="PST3" s="525"/>
      <c r="PSU3" s="525"/>
      <c r="PSV3" s="525"/>
      <c r="PSW3" s="525"/>
      <c r="PSX3" s="525"/>
      <c r="PSY3" s="525"/>
      <c r="PSZ3" s="525"/>
      <c r="PTA3" s="525"/>
      <c r="PTB3" s="525"/>
      <c r="PTC3" s="525"/>
      <c r="PTD3" s="525"/>
      <c r="PTE3" s="525"/>
      <c r="PTF3" s="525"/>
      <c r="PTG3" s="525"/>
      <c r="PTH3" s="525"/>
      <c r="PTI3" s="525"/>
      <c r="PTJ3" s="525"/>
      <c r="PTK3" s="525"/>
      <c r="PTL3" s="525"/>
      <c r="PTM3" s="525"/>
      <c r="PTN3" s="525"/>
      <c r="PTO3" s="525"/>
      <c r="PTP3" s="525"/>
      <c r="PTQ3" s="525"/>
      <c r="PTR3" s="525"/>
      <c r="PTS3" s="525"/>
      <c r="PTT3" s="525"/>
      <c r="PTU3" s="525"/>
      <c r="PTV3" s="525"/>
      <c r="PTW3" s="525"/>
      <c r="PTX3" s="525"/>
      <c r="PTY3" s="525"/>
      <c r="PTZ3" s="525"/>
      <c r="PUA3" s="525"/>
      <c r="PUB3" s="525"/>
      <c r="PUC3" s="525"/>
      <c r="PUD3" s="525"/>
      <c r="PUE3" s="525"/>
      <c r="PUF3" s="525"/>
      <c r="PUG3" s="525"/>
      <c r="PUH3" s="525"/>
      <c r="PUI3" s="525"/>
      <c r="PUJ3" s="525"/>
      <c r="PUK3" s="525"/>
      <c r="PUL3" s="525"/>
      <c r="PUM3" s="525"/>
      <c r="PUN3" s="525"/>
      <c r="PUO3" s="525"/>
      <c r="PUP3" s="525"/>
      <c r="PUQ3" s="525"/>
      <c r="PUR3" s="525"/>
      <c r="PUS3" s="525"/>
      <c r="PUT3" s="525"/>
      <c r="PUU3" s="525"/>
      <c r="PUV3" s="525"/>
      <c r="PUW3" s="525"/>
      <c r="PUX3" s="525"/>
      <c r="PUY3" s="525"/>
      <c r="PUZ3" s="525"/>
      <c r="PVA3" s="525"/>
      <c r="PVB3" s="525"/>
      <c r="PVC3" s="525"/>
      <c r="PVD3" s="525"/>
      <c r="PVE3" s="525"/>
      <c r="PVF3" s="525"/>
      <c r="PVG3" s="525"/>
      <c r="PVH3" s="525"/>
      <c r="PVI3" s="525"/>
      <c r="PVJ3" s="525"/>
      <c r="PVK3" s="525"/>
      <c r="PVL3" s="525"/>
      <c r="PVM3" s="525"/>
      <c r="PVN3" s="525"/>
      <c r="PVO3" s="525"/>
      <c r="PVP3" s="525"/>
      <c r="PVQ3" s="525"/>
      <c r="PVR3" s="525"/>
      <c r="PVS3" s="525"/>
      <c r="PVT3" s="525"/>
      <c r="PVU3" s="525"/>
      <c r="PVV3" s="525"/>
      <c r="PVW3" s="525"/>
      <c r="PVX3" s="525"/>
      <c r="PVY3" s="525"/>
      <c r="PVZ3" s="525"/>
      <c r="PWA3" s="525"/>
      <c r="PWB3" s="525"/>
      <c r="PWC3" s="525"/>
      <c r="PWD3" s="525"/>
      <c r="PWE3" s="525"/>
      <c r="PWF3" s="525"/>
      <c r="PWG3" s="525"/>
      <c r="PWH3" s="525"/>
      <c r="PWI3" s="525"/>
      <c r="PWJ3" s="525"/>
      <c r="PWK3" s="525"/>
      <c r="PWL3" s="525"/>
      <c r="PWM3" s="525"/>
      <c r="PWN3" s="525"/>
      <c r="PWO3" s="525"/>
      <c r="PWP3" s="525"/>
      <c r="PWQ3" s="525"/>
      <c r="PWR3" s="525"/>
      <c r="PWS3" s="525"/>
      <c r="PWT3" s="525"/>
      <c r="PWU3" s="525"/>
      <c r="PWV3" s="525"/>
      <c r="PWW3" s="525"/>
      <c r="PWX3" s="525"/>
      <c r="PWY3" s="525"/>
      <c r="PWZ3" s="525"/>
      <c r="PXA3" s="525"/>
      <c r="PXB3" s="525"/>
      <c r="PXC3" s="525"/>
      <c r="PXD3" s="525"/>
      <c r="PXE3" s="525"/>
      <c r="PXF3" s="525"/>
      <c r="PXG3" s="525"/>
      <c r="PXH3" s="525"/>
      <c r="PXI3" s="525"/>
      <c r="PXJ3" s="525"/>
      <c r="PXK3" s="525"/>
      <c r="PXL3" s="525"/>
      <c r="PXM3" s="525"/>
      <c r="PXN3" s="525"/>
      <c r="PXO3" s="525"/>
      <c r="PXP3" s="525"/>
      <c r="PXQ3" s="525"/>
      <c r="PXR3" s="525"/>
      <c r="PXS3" s="525"/>
      <c r="PXT3" s="525"/>
      <c r="PXU3" s="525"/>
      <c r="PXV3" s="525"/>
      <c r="PXW3" s="525"/>
      <c r="PXX3" s="525"/>
      <c r="PXY3" s="525"/>
      <c r="PXZ3" s="525"/>
      <c r="PYA3" s="525"/>
      <c r="PYB3" s="525"/>
      <c r="PYC3" s="525"/>
      <c r="PYD3" s="525"/>
      <c r="PYE3" s="525"/>
      <c r="PYF3" s="525"/>
      <c r="PYG3" s="525"/>
      <c r="PYH3" s="525"/>
      <c r="PYI3" s="525"/>
      <c r="PYJ3" s="525"/>
      <c r="PYK3" s="525"/>
      <c r="PYL3" s="525"/>
      <c r="PYM3" s="525"/>
      <c r="PYN3" s="525"/>
      <c r="PYO3" s="525"/>
      <c r="PYP3" s="525"/>
      <c r="PYQ3" s="525"/>
      <c r="PYR3" s="525"/>
      <c r="PYS3" s="525"/>
      <c r="PYT3" s="525"/>
      <c r="PYU3" s="525"/>
      <c r="PYV3" s="525"/>
      <c r="PYW3" s="525"/>
      <c r="PYX3" s="525"/>
      <c r="PYY3" s="525"/>
      <c r="PYZ3" s="525"/>
      <c r="PZA3" s="525"/>
      <c r="PZB3" s="525"/>
      <c r="PZC3" s="525"/>
      <c r="PZD3" s="525"/>
      <c r="PZE3" s="525"/>
      <c r="PZF3" s="525"/>
      <c r="PZG3" s="525"/>
      <c r="PZH3" s="525"/>
      <c r="PZI3" s="525"/>
      <c r="PZJ3" s="525"/>
      <c r="PZK3" s="525"/>
      <c r="PZL3" s="525"/>
      <c r="PZM3" s="525"/>
      <c r="PZN3" s="525"/>
      <c r="PZO3" s="525"/>
      <c r="PZP3" s="525"/>
      <c r="PZQ3" s="525"/>
      <c r="PZR3" s="525"/>
      <c r="PZS3" s="525"/>
      <c r="PZT3" s="525"/>
      <c r="PZU3" s="525"/>
      <c r="PZV3" s="525"/>
      <c r="PZW3" s="525"/>
      <c r="PZX3" s="525"/>
      <c r="PZY3" s="525"/>
      <c r="PZZ3" s="525"/>
      <c r="QAA3" s="525"/>
      <c r="QAB3" s="525"/>
      <c r="QAC3" s="525"/>
      <c r="QAD3" s="525"/>
      <c r="QAE3" s="525"/>
      <c r="QAF3" s="525"/>
      <c r="QAG3" s="525"/>
      <c r="QAH3" s="525"/>
      <c r="QAI3" s="525"/>
      <c r="QAJ3" s="525"/>
      <c r="QAK3" s="525"/>
      <c r="QAL3" s="525"/>
      <c r="QAM3" s="525"/>
      <c r="QAN3" s="525"/>
      <c r="QAO3" s="525"/>
      <c r="QAP3" s="525"/>
      <c r="QAQ3" s="525"/>
      <c r="QAR3" s="525"/>
      <c r="QAS3" s="525"/>
      <c r="QAT3" s="525"/>
      <c r="QAU3" s="525"/>
      <c r="QAV3" s="525"/>
      <c r="QAW3" s="525"/>
      <c r="QAX3" s="525"/>
      <c r="QAY3" s="525"/>
      <c r="QAZ3" s="525"/>
      <c r="QBA3" s="525"/>
      <c r="QBB3" s="525"/>
      <c r="QBC3" s="525"/>
      <c r="QBD3" s="525"/>
      <c r="QBE3" s="525"/>
      <c r="QBF3" s="525"/>
      <c r="QBG3" s="525"/>
      <c r="QBH3" s="525"/>
      <c r="QBI3" s="525"/>
      <c r="QBJ3" s="525"/>
      <c r="QBK3" s="525"/>
      <c r="QBL3" s="525"/>
      <c r="QBM3" s="525"/>
      <c r="QBN3" s="525"/>
      <c r="QBO3" s="525"/>
      <c r="QBP3" s="525"/>
      <c r="QBQ3" s="525"/>
      <c r="QBR3" s="525"/>
      <c r="QBS3" s="525"/>
      <c r="QBT3" s="525"/>
      <c r="QBU3" s="525"/>
      <c r="QBV3" s="525"/>
      <c r="QBW3" s="525"/>
      <c r="QBX3" s="525"/>
      <c r="QBY3" s="525"/>
      <c r="QBZ3" s="525"/>
      <c r="QCA3" s="525"/>
      <c r="QCB3" s="525"/>
      <c r="QCC3" s="525"/>
      <c r="QCD3" s="525"/>
      <c r="QCE3" s="525"/>
      <c r="QCF3" s="525"/>
      <c r="QCG3" s="525"/>
      <c r="QCH3" s="525"/>
      <c r="QCI3" s="525"/>
      <c r="QCJ3" s="525"/>
      <c r="QCK3" s="525"/>
      <c r="QCL3" s="525"/>
      <c r="QCM3" s="525"/>
      <c r="QCN3" s="525"/>
      <c r="QCO3" s="525"/>
      <c r="QCP3" s="525"/>
      <c r="QCQ3" s="525"/>
      <c r="QCR3" s="525"/>
      <c r="QCS3" s="525"/>
      <c r="QCT3" s="525"/>
      <c r="QCU3" s="525"/>
      <c r="QCV3" s="525"/>
      <c r="QCW3" s="525"/>
      <c r="QCX3" s="525"/>
      <c r="QCY3" s="525"/>
      <c r="QCZ3" s="525"/>
      <c r="QDA3" s="525"/>
      <c r="QDB3" s="525"/>
      <c r="QDC3" s="525"/>
      <c r="QDD3" s="525"/>
      <c r="QDE3" s="525"/>
      <c r="QDF3" s="525"/>
      <c r="QDG3" s="525"/>
      <c r="QDH3" s="525"/>
      <c r="QDI3" s="525"/>
      <c r="QDJ3" s="525"/>
      <c r="QDK3" s="525"/>
      <c r="QDL3" s="525"/>
      <c r="QDM3" s="525"/>
      <c r="QDN3" s="525"/>
      <c r="QDO3" s="525"/>
      <c r="QDP3" s="525"/>
      <c r="QDQ3" s="525"/>
      <c r="QDR3" s="525"/>
      <c r="QDS3" s="525"/>
      <c r="QDT3" s="525"/>
      <c r="QDU3" s="525"/>
      <c r="QDV3" s="525"/>
      <c r="QDW3" s="525"/>
      <c r="QDX3" s="525"/>
      <c r="QDY3" s="525"/>
      <c r="QDZ3" s="525"/>
      <c r="QEA3" s="525"/>
      <c r="QEB3" s="525"/>
      <c r="QEC3" s="525"/>
      <c r="QED3" s="525"/>
      <c r="QEE3" s="525"/>
      <c r="QEF3" s="525"/>
      <c r="QEG3" s="525"/>
      <c r="QEH3" s="525"/>
      <c r="QEI3" s="525"/>
      <c r="QEJ3" s="525"/>
      <c r="QEK3" s="525"/>
      <c r="QEL3" s="525"/>
      <c r="QEM3" s="525"/>
      <c r="QEN3" s="525"/>
      <c r="QEO3" s="525"/>
      <c r="QEP3" s="525"/>
      <c r="QEQ3" s="525"/>
      <c r="QER3" s="525"/>
      <c r="QES3" s="525"/>
      <c r="QET3" s="525"/>
      <c r="QEU3" s="525"/>
      <c r="QEV3" s="525"/>
      <c r="QEW3" s="525"/>
      <c r="QEX3" s="525"/>
      <c r="QEY3" s="525"/>
      <c r="QEZ3" s="525"/>
      <c r="QFA3" s="525"/>
      <c r="QFB3" s="525"/>
      <c r="QFC3" s="525"/>
      <c r="QFD3" s="525"/>
      <c r="QFE3" s="525"/>
      <c r="QFF3" s="525"/>
      <c r="QFG3" s="525"/>
      <c r="QFH3" s="525"/>
      <c r="QFI3" s="525"/>
      <c r="QFJ3" s="525"/>
      <c r="QFK3" s="525"/>
      <c r="QFL3" s="525"/>
      <c r="QFM3" s="525"/>
      <c r="QFN3" s="525"/>
      <c r="QFO3" s="525"/>
      <c r="QFP3" s="525"/>
      <c r="QFQ3" s="525"/>
      <c r="QFR3" s="525"/>
      <c r="QFS3" s="525"/>
      <c r="QFT3" s="525"/>
      <c r="QFU3" s="525"/>
      <c r="QFV3" s="525"/>
      <c r="QFW3" s="525"/>
      <c r="QFX3" s="525"/>
      <c r="QFY3" s="525"/>
      <c r="QFZ3" s="525"/>
      <c r="QGA3" s="525"/>
      <c r="QGB3" s="525"/>
      <c r="QGC3" s="525"/>
      <c r="QGD3" s="525"/>
      <c r="QGE3" s="525"/>
      <c r="QGF3" s="525"/>
      <c r="QGG3" s="525"/>
      <c r="QGH3" s="525"/>
      <c r="QGI3" s="525"/>
      <c r="QGJ3" s="525"/>
      <c r="QGK3" s="525"/>
      <c r="QGL3" s="525"/>
      <c r="QGM3" s="525"/>
      <c r="QGN3" s="525"/>
      <c r="QGO3" s="525"/>
      <c r="QGP3" s="525"/>
      <c r="QGQ3" s="525"/>
      <c r="QGR3" s="525"/>
      <c r="QGS3" s="525"/>
      <c r="QGT3" s="525"/>
      <c r="QGU3" s="525"/>
      <c r="QGV3" s="525"/>
      <c r="QGW3" s="525"/>
      <c r="QGX3" s="525"/>
      <c r="QGY3" s="525"/>
      <c r="QGZ3" s="525"/>
      <c r="QHA3" s="525"/>
      <c r="QHB3" s="525"/>
      <c r="QHC3" s="525"/>
      <c r="QHD3" s="525"/>
      <c r="QHE3" s="525"/>
      <c r="QHF3" s="525"/>
      <c r="QHG3" s="525"/>
      <c r="QHH3" s="525"/>
      <c r="QHI3" s="525"/>
      <c r="QHJ3" s="525"/>
      <c r="QHK3" s="525"/>
      <c r="QHL3" s="525"/>
      <c r="QHM3" s="525"/>
      <c r="QHN3" s="525"/>
      <c r="QHO3" s="525"/>
      <c r="QHP3" s="525"/>
      <c r="QHQ3" s="525"/>
      <c r="QHR3" s="525"/>
      <c r="QHS3" s="525"/>
      <c r="QHT3" s="525"/>
      <c r="QHU3" s="525"/>
      <c r="QHV3" s="525"/>
      <c r="QHW3" s="525"/>
      <c r="QHX3" s="525"/>
      <c r="QHY3" s="525"/>
      <c r="QHZ3" s="525"/>
      <c r="QIA3" s="525"/>
      <c r="QIB3" s="525"/>
      <c r="QIC3" s="525"/>
      <c r="QID3" s="525"/>
      <c r="QIE3" s="525"/>
      <c r="QIF3" s="525"/>
      <c r="QIG3" s="525"/>
      <c r="QIH3" s="525"/>
      <c r="QII3" s="525"/>
      <c r="QIJ3" s="525"/>
      <c r="QIK3" s="525"/>
      <c r="QIL3" s="525"/>
      <c r="QIM3" s="525"/>
      <c r="QIN3" s="525"/>
      <c r="QIO3" s="525"/>
      <c r="QIP3" s="525"/>
      <c r="QIQ3" s="525"/>
      <c r="QIR3" s="525"/>
      <c r="QIS3" s="525"/>
      <c r="QIT3" s="525"/>
      <c r="QIU3" s="525"/>
      <c r="QIV3" s="525"/>
      <c r="QIW3" s="525"/>
      <c r="QIX3" s="525"/>
      <c r="QIY3" s="525"/>
      <c r="QIZ3" s="525"/>
      <c r="QJA3" s="525"/>
      <c r="QJB3" s="525"/>
      <c r="QJC3" s="525"/>
      <c r="QJD3" s="525"/>
      <c r="QJE3" s="525"/>
      <c r="QJF3" s="525"/>
      <c r="QJG3" s="525"/>
      <c r="QJH3" s="525"/>
      <c r="QJI3" s="525"/>
      <c r="QJJ3" s="525"/>
      <c r="QJK3" s="525"/>
      <c r="QJL3" s="525"/>
      <c r="QJM3" s="525"/>
      <c r="QJN3" s="525"/>
      <c r="QJO3" s="525"/>
      <c r="QJP3" s="525"/>
      <c r="QJQ3" s="525"/>
      <c r="QJR3" s="525"/>
      <c r="QJS3" s="525"/>
      <c r="QJT3" s="525"/>
      <c r="QJU3" s="525"/>
      <c r="QJV3" s="525"/>
      <c r="QJW3" s="525"/>
      <c r="QJX3" s="525"/>
      <c r="QJY3" s="525"/>
      <c r="QJZ3" s="525"/>
      <c r="QKA3" s="525"/>
      <c r="QKB3" s="525"/>
      <c r="QKC3" s="525"/>
      <c r="QKD3" s="525"/>
      <c r="QKE3" s="525"/>
      <c r="QKF3" s="525"/>
      <c r="QKG3" s="525"/>
      <c r="QKH3" s="525"/>
      <c r="QKI3" s="525"/>
      <c r="QKJ3" s="525"/>
      <c r="QKK3" s="525"/>
      <c r="QKL3" s="525"/>
      <c r="QKM3" s="525"/>
      <c r="QKN3" s="525"/>
      <c r="QKO3" s="525"/>
      <c r="QKP3" s="525"/>
      <c r="QKQ3" s="525"/>
      <c r="QKR3" s="525"/>
      <c r="QKS3" s="525"/>
      <c r="QKT3" s="525"/>
      <c r="QKU3" s="525"/>
      <c r="QKV3" s="525"/>
      <c r="QKW3" s="525"/>
      <c r="QKX3" s="525"/>
      <c r="QKY3" s="525"/>
      <c r="QKZ3" s="525"/>
      <c r="QLA3" s="525"/>
      <c r="QLB3" s="525"/>
      <c r="QLC3" s="525"/>
      <c r="QLD3" s="525"/>
      <c r="QLE3" s="525"/>
      <c r="QLF3" s="525"/>
      <c r="QLG3" s="525"/>
      <c r="QLH3" s="525"/>
      <c r="QLI3" s="525"/>
      <c r="QLJ3" s="525"/>
      <c r="QLK3" s="525"/>
      <c r="QLL3" s="525"/>
      <c r="QLM3" s="525"/>
      <c r="QLN3" s="525"/>
      <c r="QLO3" s="525"/>
      <c r="QLP3" s="525"/>
      <c r="QLQ3" s="525"/>
      <c r="QLR3" s="525"/>
      <c r="QLS3" s="525"/>
      <c r="QLT3" s="525"/>
      <c r="QLU3" s="525"/>
      <c r="QLV3" s="525"/>
      <c r="QLW3" s="525"/>
      <c r="QLX3" s="525"/>
      <c r="QLY3" s="525"/>
      <c r="QLZ3" s="525"/>
      <c r="QMA3" s="525"/>
      <c r="QMB3" s="525"/>
      <c r="QMC3" s="525"/>
      <c r="QMD3" s="525"/>
      <c r="QME3" s="525"/>
      <c r="QMF3" s="525"/>
      <c r="QMG3" s="525"/>
      <c r="QMH3" s="525"/>
      <c r="QMI3" s="525"/>
      <c r="QMJ3" s="525"/>
      <c r="QMK3" s="525"/>
      <c r="QML3" s="525"/>
      <c r="QMM3" s="525"/>
      <c r="QMN3" s="525"/>
      <c r="QMO3" s="525"/>
      <c r="QMP3" s="525"/>
      <c r="QMQ3" s="525"/>
      <c r="QMR3" s="525"/>
      <c r="QMS3" s="525"/>
      <c r="QMT3" s="525"/>
      <c r="QMU3" s="525"/>
      <c r="QMV3" s="525"/>
      <c r="QMW3" s="525"/>
      <c r="QMX3" s="525"/>
      <c r="QMY3" s="525"/>
      <c r="QMZ3" s="525"/>
      <c r="QNA3" s="525"/>
      <c r="QNB3" s="525"/>
      <c r="QNC3" s="525"/>
      <c r="QND3" s="525"/>
      <c r="QNE3" s="525"/>
      <c r="QNF3" s="525"/>
      <c r="QNG3" s="525"/>
      <c r="QNH3" s="525"/>
      <c r="QNI3" s="525"/>
      <c r="QNJ3" s="525"/>
      <c r="QNK3" s="525"/>
      <c r="QNL3" s="525"/>
      <c r="QNM3" s="525"/>
      <c r="QNN3" s="525"/>
      <c r="QNO3" s="525"/>
      <c r="QNP3" s="525"/>
      <c r="QNQ3" s="525"/>
      <c r="QNR3" s="525"/>
      <c r="QNS3" s="525"/>
      <c r="QNT3" s="525"/>
      <c r="QNU3" s="525"/>
      <c r="QNV3" s="525"/>
      <c r="QNW3" s="525"/>
      <c r="QNX3" s="525"/>
      <c r="QNY3" s="525"/>
      <c r="QNZ3" s="525"/>
      <c r="QOA3" s="525"/>
      <c r="QOB3" s="525"/>
      <c r="QOC3" s="525"/>
      <c r="QOD3" s="525"/>
      <c r="QOE3" s="525"/>
      <c r="QOF3" s="525"/>
      <c r="QOG3" s="525"/>
      <c r="QOH3" s="525"/>
      <c r="QOI3" s="525"/>
      <c r="QOJ3" s="525"/>
      <c r="QOK3" s="525"/>
      <c r="QOL3" s="525"/>
      <c r="QOM3" s="525"/>
      <c r="QON3" s="525"/>
      <c r="QOO3" s="525"/>
      <c r="QOP3" s="525"/>
      <c r="QOQ3" s="525"/>
      <c r="QOR3" s="525"/>
      <c r="QOS3" s="525"/>
      <c r="QOT3" s="525"/>
      <c r="QOU3" s="525"/>
      <c r="QOV3" s="525"/>
      <c r="QOW3" s="525"/>
      <c r="QOX3" s="525"/>
      <c r="QOY3" s="525"/>
      <c r="QOZ3" s="525"/>
      <c r="QPA3" s="525"/>
      <c r="QPB3" s="525"/>
      <c r="QPC3" s="525"/>
      <c r="QPD3" s="525"/>
      <c r="QPE3" s="525"/>
      <c r="QPF3" s="525"/>
      <c r="QPG3" s="525"/>
      <c r="QPH3" s="525"/>
      <c r="QPI3" s="525"/>
      <c r="QPJ3" s="525"/>
      <c r="QPK3" s="525"/>
      <c r="QPL3" s="525"/>
      <c r="QPM3" s="525"/>
      <c r="QPN3" s="525"/>
      <c r="QPO3" s="525"/>
      <c r="QPP3" s="525"/>
      <c r="QPQ3" s="525"/>
      <c r="QPR3" s="525"/>
      <c r="QPS3" s="525"/>
      <c r="QPT3" s="525"/>
      <c r="QPU3" s="525"/>
      <c r="QPV3" s="525"/>
      <c r="QPW3" s="525"/>
      <c r="QPX3" s="525"/>
      <c r="QPY3" s="525"/>
      <c r="QPZ3" s="525"/>
      <c r="QQA3" s="525"/>
      <c r="QQB3" s="525"/>
      <c r="QQC3" s="525"/>
      <c r="QQD3" s="525"/>
      <c r="QQE3" s="525"/>
      <c r="QQF3" s="525"/>
      <c r="QQG3" s="525"/>
      <c r="QQH3" s="525"/>
      <c r="QQI3" s="525"/>
      <c r="QQJ3" s="525"/>
      <c r="QQK3" s="525"/>
      <c r="QQL3" s="525"/>
      <c r="QQM3" s="525"/>
      <c r="QQN3" s="525"/>
      <c r="QQO3" s="525"/>
      <c r="QQP3" s="525"/>
      <c r="QQQ3" s="525"/>
      <c r="QQR3" s="525"/>
      <c r="QQS3" s="525"/>
      <c r="QQT3" s="525"/>
      <c r="QQU3" s="525"/>
      <c r="QQV3" s="525"/>
      <c r="QQW3" s="525"/>
      <c r="QQX3" s="525"/>
      <c r="QQY3" s="525"/>
      <c r="QQZ3" s="525"/>
      <c r="QRA3" s="525"/>
      <c r="QRB3" s="525"/>
      <c r="QRC3" s="525"/>
      <c r="QRD3" s="525"/>
      <c r="QRE3" s="525"/>
      <c r="QRF3" s="525"/>
      <c r="QRG3" s="525"/>
      <c r="QRH3" s="525"/>
      <c r="QRI3" s="525"/>
      <c r="QRJ3" s="525"/>
      <c r="QRK3" s="525"/>
      <c r="QRL3" s="525"/>
      <c r="QRM3" s="525"/>
      <c r="QRN3" s="525"/>
      <c r="QRO3" s="525"/>
      <c r="QRP3" s="525"/>
      <c r="QRQ3" s="525"/>
      <c r="QRR3" s="525"/>
      <c r="QRS3" s="525"/>
      <c r="QRT3" s="525"/>
      <c r="QRU3" s="525"/>
      <c r="QRV3" s="525"/>
      <c r="QRW3" s="525"/>
      <c r="QRX3" s="525"/>
      <c r="QRY3" s="525"/>
      <c r="QRZ3" s="525"/>
      <c r="QSA3" s="525"/>
      <c r="QSB3" s="525"/>
      <c r="QSC3" s="525"/>
      <c r="QSD3" s="525"/>
      <c r="QSE3" s="525"/>
      <c r="QSF3" s="525"/>
      <c r="QSG3" s="525"/>
      <c r="QSH3" s="525"/>
      <c r="QSI3" s="525"/>
      <c r="QSJ3" s="525"/>
      <c r="QSK3" s="525"/>
      <c r="QSL3" s="525"/>
      <c r="QSM3" s="525"/>
      <c r="QSN3" s="525"/>
      <c r="QSO3" s="525"/>
      <c r="QSP3" s="525"/>
      <c r="QSQ3" s="525"/>
      <c r="QSR3" s="525"/>
      <c r="QSS3" s="525"/>
      <c r="QST3" s="525"/>
      <c r="QSU3" s="525"/>
      <c r="QSV3" s="525"/>
      <c r="QSW3" s="525"/>
      <c r="QSX3" s="525"/>
      <c r="QSY3" s="525"/>
      <c r="QSZ3" s="525"/>
      <c r="QTA3" s="525"/>
      <c r="QTB3" s="525"/>
      <c r="QTC3" s="525"/>
      <c r="QTD3" s="525"/>
      <c r="QTE3" s="525"/>
      <c r="QTF3" s="525"/>
      <c r="QTG3" s="525"/>
      <c r="QTH3" s="525"/>
      <c r="QTI3" s="525"/>
      <c r="QTJ3" s="525"/>
      <c r="QTK3" s="525"/>
      <c r="QTL3" s="525"/>
      <c r="QTM3" s="525"/>
      <c r="QTN3" s="525"/>
      <c r="QTO3" s="525"/>
      <c r="QTP3" s="525"/>
      <c r="QTQ3" s="525"/>
      <c r="QTR3" s="525"/>
      <c r="QTS3" s="525"/>
      <c r="QTT3" s="525"/>
      <c r="QTU3" s="525"/>
      <c r="QTV3" s="525"/>
      <c r="QTW3" s="525"/>
      <c r="QTX3" s="525"/>
      <c r="QTY3" s="525"/>
      <c r="QTZ3" s="525"/>
      <c r="QUA3" s="525"/>
      <c r="QUB3" s="525"/>
      <c r="QUC3" s="525"/>
      <c r="QUD3" s="525"/>
      <c r="QUE3" s="525"/>
      <c r="QUF3" s="525"/>
      <c r="QUG3" s="525"/>
      <c r="QUH3" s="525"/>
      <c r="QUI3" s="525"/>
      <c r="QUJ3" s="525"/>
      <c r="QUK3" s="525"/>
      <c r="QUL3" s="525"/>
      <c r="QUM3" s="525"/>
      <c r="QUN3" s="525"/>
      <c r="QUO3" s="525"/>
      <c r="QUP3" s="525"/>
      <c r="QUQ3" s="525"/>
      <c r="QUR3" s="525"/>
      <c r="QUS3" s="525"/>
      <c r="QUT3" s="525"/>
      <c r="QUU3" s="525"/>
      <c r="QUV3" s="525"/>
      <c r="QUW3" s="525"/>
      <c r="QUX3" s="525"/>
      <c r="QUY3" s="525"/>
      <c r="QUZ3" s="525"/>
      <c r="QVA3" s="525"/>
      <c r="QVB3" s="525"/>
      <c r="QVC3" s="525"/>
      <c r="QVD3" s="525"/>
      <c r="QVE3" s="525"/>
      <c r="QVF3" s="525"/>
      <c r="QVG3" s="525"/>
      <c r="QVH3" s="525"/>
      <c r="QVI3" s="525"/>
      <c r="QVJ3" s="525"/>
      <c r="QVK3" s="525"/>
      <c r="QVL3" s="525"/>
      <c r="QVM3" s="525"/>
      <c r="QVN3" s="525"/>
      <c r="QVO3" s="525"/>
      <c r="QVP3" s="525"/>
      <c r="QVQ3" s="525"/>
      <c r="QVR3" s="525"/>
      <c r="QVS3" s="525"/>
      <c r="QVT3" s="525"/>
      <c r="QVU3" s="525"/>
      <c r="QVV3" s="525"/>
      <c r="QVW3" s="525"/>
      <c r="QVX3" s="525"/>
      <c r="QVY3" s="525"/>
      <c r="QVZ3" s="525"/>
      <c r="QWA3" s="525"/>
      <c r="QWB3" s="525"/>
      <c r="QWC3" s="525"/>
      <c r="QWD3" s="525"/>
      <c r="QWE3" s="525"/>
      <c r="QWF3" s="525"/>
      <c r="QWG3" s="525"/>
      <c r="QWH3" s="525"/>
      <c r="QWI3" s="525"/>
      <c r="QWJ3" s="525"/>
      <c r="QWK3" s="525"/>
      <c r="QWL3" s="525"/>
      <c r="QWM3" s="525"/>
      <c r="QWN3" s="525"/>
      <c r="QWO3" s="525"/>
      <c r="QWP3" s="525"/>
      <c r="QWQ3" s="525"/>
      <c r="QWR3" s="525"/>
      <c r="QWS3" s="525"/>
      <c r="QWT3" s="525"/>
      <c r="QWU3" s="525"/>
      <c r="QWV3" s="525"/>
      <c r="QWW3" s="525"/>
      <c r="QWX3" s="525"/>
      <c r="QWY3" s="525"/>
      <c r="QWZ3" s="525"/>
      <c r="QXA3" s="525"/>
      <c r="QXB3" s="525"/>
      <c r="QXC3" s="525"/>
      <c r="QXD3" s="525"/>
      <c r="QXE3" s="525"/>
      <c r="QXF3" s="525"/>
      <c r="QXG3" s="525"/>
      <c r="QXH3" s="525"/>
      <c r="QXI3" s="525"/>
      <c r="QXJ3" s="525"/>
      <c r="QXK3" s="525"/>
      <c r="QXL3" s="525"/>
      <c r="QXM3" s="525"/>
      <c r="QXN3" s="525"/>
      <c r="QXO3" s="525"/>
      <c r="QXP3" s="525"/>
      <c r="QXQ3" s="525"/>
      <c r="QXR3" s="525"/>
      <c r="QXS3" s="525"/>
      <c r="QXT3" s="525"/>
      <c r="QXU3" s="525"/>
      <c r="QXV3" s="525"/>
      <c r="QXW3" s="525"/>
      <c r="QXX3" s="525"/>
      <c r="QXY3" s="525"/>
      <c r="QXZ3" s="525"/>
      <c r="QYA3" s="525"/>
      <c r="QYB3" s="525"/>
      <c r="QYC3" s="525"/>
      <c r="QYD3" s="525"/>
      <c r="QYE3" s="525"/>
      <c r="QYF3" s="525"/>
      <c r="QYG3" s="525"/>
      <c r="QYH3" s="525"/>
      <c r="QYI3" s="525"/>
      <c r="QYJ3" s="525"/>
      <c r="QYK3" s="525"/>
      <c r="QYL3" s="525"/>
      <c r="QYM3" s="525"/>
      <c r="QYN3" s="525"/>
      <c r="QYO3" s="525"/>
      <c r="QYP3" s="525"/>
      <c r="QYQ3" s="525"/>
      <c r="QYR3" s="525"/>
      <c r="QYS3" s="525"/>
      <c r="QYT3" s="525"/>
      <c r="QYU3" s="525"/>
      <c r="QYV3" s="525"/>
      <c r="QYW3" s="525"/>
      <c r="QYX3" s="525"/>
      <c r="QYY3" s="525"/>
      <c r="QYZ3" s="525"/>
      <c r="QZA3" s="525"/>
      <c r="QZB3" s="525"/>
      <c r="QZC3" s="525"/>
      <c r="QZD3" s="525"/>
      <c r="QZE3" s="525"/>
      <c r="QZF3" s="525"/>
      <c r="QZG3" s="525"/>
      <c r="QZH3" s="525"/>
      <c r="QZI3" s="525"/>
      <c r="QZJ3" s="525"/>
      <c r="QZK3" s="525"/>
      <c r="QZL3" s="525"/>
      <c r="QZM3" s="525"/>
      <c r="QZN3" s="525"/>
      <c r="QZO3" s="525"/>
      <c r="QZP3" s="525"/>
      <c r="QZQ3" s="525"/>
      <c r="QZR3" s="525"/>
      <c r="QZS3" s="525"/>
      <c r="QZT3" s="525"/>
      <c r="QZU3" s="525"/>
      <c r="QZV3" s="525"/>
      <c r="QZW3" s="525"/>
      <c r="QZX3" s="525"/>
      <c r="QZY3" s="525"/>
      <c r="QZZ3" s="525"/>
      <c r="RAA3" s="525"/>
      <c r="RAB3" s="525"/>
      <c r="RAC3" s="525"/>
      <c r="RAD3" s="525"/>
      <c r="RAE3" s="525"/>
      <c r="RAF3" s="525"/>
      <c r="RAG3" s="525"/>
      <c r="RAH3" s="525"/>
      <c r="RAI3" s="525"/>
      <c r="RAJ3" s="525"/>
      <c r="RAK3" s="525"/>
      <c r="RAL3" s="525"/>
      <c r="RAM3" s="525"/>
      <c r="RAN3" s="525"/>
      <c r="RAO3" s="525"/>
      <c r="RAP3" s="525"/>
      <c r="RAQ3" s="525"/>
      <c r="RAR3" s="525"/>
      <c r="RAS3" s="525"/>
      <c r="RAT3" s="525"/>
      <c r="RAU3" s="525"/>
      <c r="RAV3" s="525"/>
      <c r="RAW3" s="525"/>
      <c r="RAX3" s="525"/>
      <c r="RAY3" s="525"/>
      <c r="RAZ3" s="525"/>
      <c r="RBA3" s="525"/>
      <c r="RBB3" s="525"/>
      <c r="RBC3" s="525"/>
      <c r="RBD3" s="525"/>
      <c r="RBE3" s="525"/>
      <c r="RBF3" s="525"/>
      <c r="RBG3" s="525"/>
      <c r="RBH3" s="525"/>
      <c r="RBI3" s="525"/>
      <c r="RBJ3" s="525"/>
      <c r="RBK3" s="525"/>
      <c r="RBL3" s="525"/>
      <c r="RBM3" s="525"/>
      <c r="RBN3" s="525"/>
      <c r="RBO3" s="525"/>
      <c r="RBP3" s="525"/>
      <c r="RBQ3" s="525"/>
      <c r="RBR3" s="525"/>
      <c r="RBS3" s="525"/>
      <c r="RBT3" s="525"/>
      <c r="RBU3" s="525"/>
      <c r="RBV3" s="525"/>
      <c r="RBW3" s="525"/>
      <c r="RBX3" s="525"/>
      <c r="RBY3" s="525"/>
      <c r="RBZ3" s="525"/>
      <c r="RCA3" s="525"/>
      <c r="RCB3" s="525"/>
      <c r="RCC3" s="525"/>
      <c r="RCD3" s="525"/>
      <c r="RCE3" s="525"/>
      <c r="RCF3" s="525"/>
      <c r="RCG3" s="525"/>
      <c r="RCH3" s="525"/>
      <c r="RCI3" s="525"/>
      <c r="RCJ3" s="525"/>
      <c r="RCK3" s="525"/>
      <c r="RCL3" s="525"/>
      <c r="RCM3" s="525"/>
      <c r="RCN3" s="525"/>
      <c r="RCO3" s="525"/>
      <c r="RCP3" s="525"/>
      <c r="RCQ3" s="525"/>
      <c r="RCR3" s="525"/>
      <c r="RCS3" s="525"/>
      <c r="RCT3" s="525"/>
      <c r="RCU3" s="525"/>
      <c r="RCV3" s="525"/>
      <c r="RCW3" s="525"/>
      <c r="RCX3" s="525"/>
      <c r="RCY3" s="525"/>
      <c r="RCZ3" s="525"/>
      <c r="RDA3" s="525"/>
      <c r="RDB3" s="525"/>
      <c r="RDC3" s="525"/>
      <c r="RDD3" s="525"/>
      <c r="RDE3" s="525"/>
      <c r="RDF3" s="525"/>
      <c r="RDG3" s="525"/>
      <c r="RDH3" s="525"/>
      <c r="RDI3" s="525"/>
      <c r="RDJ3" s="525"/>
      <c r="RDK3" s="525"/>
      <c r="RDL3" s="525"/>
      <c r="RDM3" s="525"/>
      <c r="RDN3" s="525"/>
      <c r="RDO3" s="525"/>
      <c r="RDP3" s="525"/>
      <c r="RDQ3" s="525"/>
      <c r="RDR3" s="525"/>
      <c r="RDS3" s="525"/>
      <c r="RDT3" s="525"/>
      <c r="RDU3" s="525"/>
      <c r="RDV3" s="525"/>
      <c r="RDW3" s="525"/>
      <c r="RDX3" s="525"/>
      <c r="RDY3" s="525"/>
      <c r="RDZ3" s="525"/>
      <c r="REA3" s="525"/>
      <c r="REB3" s="525"/>
      <c r="REC3" s="525"/>
      <c r="RED3" s="525"/>
      <c r="REE3" s="525"/>
      <c r="REF3" s="525"/>
      <c r="REG3" s="525"/>
      <c r="REH3" s="525"/>
      <c r="REI3" s="525"/>
      <c r="REJ3" s="525"/>
      <c r="REK3" s="525"/>
      <c r="REL3" s="525"/>
      <c r="REM3" s="525"/>
      <c r="REN3" s="525"/>
      <c r="REO3" s="525"/>
      <c r="REP3" s="525"/>
      <c r="REQ3" s="525"/>
      <c r="RER3" s="525"/>
      <c r="RES3" s="525"/>
      <c r="RET3" s="525"/>
      <c r="REU3" s="525"/>
      <c r="REV3" s="525"/>
      <c r="REW3" s="525"/>
      <c r="REX3" s="525"/>
      <c r="REY3" s="525"/>
      <c r="REZ3" s="525"/>
      <c r="RFA3" s="525"/>
      <c r="RFB3" s="525"/>
      <c r="RFC3" s="525"/>
      <c r="RFD3" s="525"/>
      <c r="RFE3" s="525"/>
      <c r="RFF3" s="525"/>
      <c r="RFG3" s="525"/>
      <c r="RFH3" s="525"/>
      <c r="RFI3" s="525"/>
      <c r="RFJ3" s="525"/>
      <c r="RFK3" s="525"/>
      <c r="RFL3" s="525"/>
      <c r="RFM3" s="525"/>
      <c r="RFN3" s="525"/>
      <c r="RFO3" s="525"/>
      <c r="RFP3" s="525"/>
      <c r="RFQ3" s="525"/>
      <c r="RFR3" s="525"/>
      <c r="RFS3" s="525"/>
      <c r="RFT3" s="525"/>
      <c r="RFU3" s="525"/>
      <c r="RFV3" s="525"/>
      <c r="RFW3" s="525"/>
      <c r="RFX3" s="525"/>
      <c r="RFY3" s="525"/>
      <c r="RFZ3" s="525"/>
      <c r="RGA3" s="525"/>
      <c r="RGB3" s="525"/>
      <c r="RGC3" s="525"/>
      <c r="RGD3" s="525"/>
      <c r="RGE3" s="525"/>
      <c r="RGF3" s="525"/>
      <c r="RGG3" s="525"/>
      <c r="RGH3" s="525"/>
      <c r="RGI3" s="525"/>
      <c r="RGJ3" s="525"/>
      <c r="RGK3" s="525"/>
      <c r="RGL3" s="525"/>
      <c r="RGM3" s="525"/>
      <c r="RGN3" s="525"/>
      <c r="RGO3" s="525"/>
      <c r="RGP3" s="525"/>
      <c r="RGQ3" s="525"/>
      <c r="RGR3" s="525"/>
      <c r="RGS3" s="525"/>
      <c r="RGT3" s="525"/>
      <c r="RGU3" s="525"/>
      <c r="RGV3" s="525"/>
      <c r="RGW3" s="525"/>
      <c r="RGX3" s="525"/>
      <c r="RGY3" s="525"/>
      <c r="RGZ3" s="525"/>
      <c r="RHA3" s="525"/>
      <c r="RHB3" s="525"/>
      <c r="RHC3" s="525"/>
      <c r="RHD3" s="525"/>
      <c r="RHE3" s="525"/>
      <c r="RHF3" s="525"/>
      <c r="RHG3" s="525"/>
      <c r="RHH3" s="525"/>
      <c r="RHI3" s="525"/>
      <c r="RHJ3" s="525"/>
      <c r="RHK3" s="525"/>
      <c r="RHL3" s="525"/>
      <c r="RHM3" s="525"/>
      <c r="RHN3" s="525"/>
      <c r="RHO3" s="525"/>
      <c r="RHP3" s="525"/>
      <c r="RHQ3" s="525"/>
      <c r="RHR3" s="525"/>
      <c r="RHS3" s="525"/>
      <c r="RHT3" s="525"/>
      <c r="RHU3" s="525"/>
      <c r="RHV3" s="525"/>
      <c r="RHW3" s="525"/>
      <c r="RHX3" s="525"/>
      <c r="RHY3" s="525"/>
      <c r="RHZ3" s="525"/>
      <c r="RIA3" s="525"/>
      <c r="RIB3" s="525"/>
      <c r="RIC3" s="525"/>
      <c r="RID3" s="525"/>
      <c r="RIE3" s="525"/>
      <c r="RIF3" s="525"/>
      <c r="RIG3" s="525"/>
      <c r="RIH3" s="525"/>
      <c r="RII3" s="525"/>
      <c r="RIJ3" s="525"/>
      <c r="RIK3" s="525"/>
      <c r="RIL3" s="525"/>
      <c r="RIM3" s="525"/>
      <c r="RIN3" s="525"/>
      <c r="RIO3" s="525"/>
      <c r="RIP3" s="525"/>
      <c r="RIQ3" s="525"/>
      <c r="RIR3" s="525"/>
      <c r="RIS3" s="525"/>
      <c r="RIT3" s="525"/>
      <c r="RIU3" s="525"/>
      <c r="RIV3" s="525"/>
      <c r="RIW3" s="525"/>
      <c r="RIX3" s="525"/>
      <c r="RIY3" s="525"/>
      <c r="RIZ3" s="525"/>
      <c r="RJA3" s="525"/>
      <c r="RJB3" s="525"/>
      <c r="RJC3" s="525"/>
      <c r="RJD3" s="525"/>
      <c r="RJE3" s="525"/>
      <c r="RJF3" s="525"/>
      <c r="RJG3" s="525"/>
      <c r="RJH3" s="525"/>
      <c r="RJI3" s="525"/>
      <c r="RJJ3" s="525"/>
      <c r="RJK3" s="525"/>
      <c r="RJL3" s="525"/>
      <c r="RJM3" s="525"/>
      <c r="RJN3" s="525"/>
      <c r="RJO3" s="525"/>
      <c r="RJP3" s="525"/>
      <c r="RJQ3" s="525"/>
      <c r="RJR3" s="525"/>
      <c r="RJS3" s="525"/>
      <c r="RJT3" s="525"/>
      <c r="RJU3" s="525"/>
      <c r="RJV3" s="525"/>
      <c r="RJW3" s="525"/>
      <c r="RJX3" s="525"/>
      <c r="RJY3" s="525"/>
      <c r="RJZ3" s="525"/>
      <c r="RKA3" s="525"/>
      <c r="RKB3" s="525"/>
      <c r="RKC3" s="525"/>
      <c r="RKD3" s="525"/>
      <c r="RKE3" s="525"/>
      <c r="RKF3" s="525"/>
      <c r="RKG3" s="525"/>
      <c r="RKH3" s="525"/>
      <c r="RKI3" s="525"/>
      <c r="RKJ3" s="525"/>
      <c r="RKK3" s="525"/>
      <c r="RKL3" s="525"/>
      <c r="RKM3" s="525"/>
      <c r="RKN3" s="525"/>
      <c r="RKO3" s="525"/>
      <c r="RKP3" s="525"/>
      <c r="RKQ3" s="525"/>
      <c r="RKR3" s="525"/>
      <c r="RKS3" s="525"/>
      <c r="RKT3" s="525"/>
      <c r="RKU3" s="525"/>
      <c r="RKV3" s="525"/>
      <c r="RKW3" s="525"/>
      <c r="RKX3" s="525"/>
      <c r="RKY3" s="525"/>
      <c r="RKZ3" s="525"/>
      <c r="RLA3" s="525"/>
      <c r="RLB3" s="525"/>
      <c r="RLC3" s="525"/>
      <c r="RLD3" s="525"/>
      <c r="RLE3" s="525"/>
      <c r="RLF3" s="525"/>
      <c r="RLG3" s="525"/>
      <c r="RLH3" s="525"/>
      <c r="RLI3" s="525"/>
      <c r="RLJ3" s="525"/>
      <c r="RLK3" s="525"/>
      <c r="RLL3" s="525"/>
      <c r="RLM3" s="525"/>
      <c r="RLN3" s="525"/>
      <c r="RLO3" s="525"/>
      <c r="RLP3" s="525"/>
      <c r="RLQ3" s="525"/>
      <c r="RLR3" s="525"/>
      <c r="RLS3" s="525"/>
      <c r="RLT3" s="525"/>
      <c r="RLU3" s="525"/>
      <c r="RLV3" s="525"/>
      <c r="RLW3" s="525"/>
      <c r="RLX3" s="525"/>
      <c r="RLY3" s="525"/>
      <c r="RLZ3" s="525"/>
      <c r="RMA3" s="525"/>
      <c r="RMB3" s="525"/>
      <c r="RMC3" s="525"/>
      <c r="RMD3" s="525"/>
      <c r="RME3" s="525"/>
      <c r="RMF3" s="525"/>
      <c r="RMG3" s="525"/>
      <c r="RMH3" s="525"/>
      <c r="RMI3" s="525"/>
      <c r="RMJ3" s="525"/>
      <c r="RMK3" s="525"/>
      <c r="RML3" s="525"/>
      <c r="RMM3" s="525"/>
      <c r="RMN3" s="525"/>
      <c r="RMO3" s="525"/>
      <c r="RMP3" s="525"/>
      <c r="RMQ3" s="525"/>
      <c r="RMR3" s="525"/>
      <c r="RMS3" s="525"/>
      <c r="RMT3" s="525"/>
      <c r="RMU3" s="525"/>
      <c r="RMV3" s="525"/>
      <c r="RMW3" s="525"/>
      <c r="RMX3" s="525"/>
      <c r="RMY3" s="525"/>
      <c r="RMZ3" s="525"/>
      <c r="RNA3" s="525"/>
      <c r="RNB3" s="525"/>
      <c r="RNC3" s="525"/>
      <c r="RND3" s="525"/>
      <c r="RNE3" s="525"/>
      <c r="RNF3" s="525"/>
      <c r="RNG3" s="525"/>
      <c r="RNH3" s="525"/>
      <c r="RNI3" s="525"/>
      <c r="RNJ3" s="525"/>
      <c r="RNK3" s="525"/>
      <c r="RNL3" s="525"/>
      <c r="RNM3" s="525"/>
      <c r="RNN3" s="525"/>
      <c r="RNO3" s="525"/>
      <c r="RNP3" s="525"/>
      <c r="RNQ3" s="525"/>
      <c r="RNR3" s="525"/>
      <c r="RNS3" s="525"/>
      <c r="RNT3" s="525"/>
      <c r="RNU3" s="525"/>
      <c r="RNV3" s="525"/>
      <c r="RNW3" s="525"/>
      <c r="RNX3" s="525"/>
      <c r="RNY3" s="525"/>
      <c r="RNZ3" s="525"/>
      <c r="ROA3" s="525"/>
      <c r="ROB3" s="525"/>
      <c r="ROC3" s="525"/>
      <c r="ROD3" s="525"/>
      <c r="ROE3" s="525"/>
      <c r="ROF3" s="525"/>
      <c r="ROG3" s="525"/>
      <c r="ROH3" s="525"/>
      <c r="ROI3" s="525"/>
      <c r="ROJ3" s="525"/>
      <c r="ROK3" s="525"/>
      <c r="ROL3" s="525"/>
      <c r="ROM3" s="525"/>
      <c r="RON3" s="525"/>
      <c r="ROO3" s="525"/>
      <c r="ROP3" s="525"/>
      <c r="ROQ3" s="525"/>
      <c r="ROR3" s="525"/>
      <c r="ROS3" s="525"/>
      <c r="ROT3" s="525"/>
      <c r="ROU3" s="525"/>
      <c r="ROV3" s="525"/>
      <c r="ROW3" s="525"/>
      <c r="ROX3" s="525"/>
      <c r="ROY3" s="525"/>
      <c r="ROZ3" s="525"/>
      <c r="RPA3" s="525"/>
      <c r="RPB3" s="525"/>
      <c r="RPC3" s="525"/>
      <c r="RPD3" s="525"/>
      <c r="RPE3" s="525"/>
      <c r="RPF3" s="525"/>
      <c r="RPG3" s="525"/>
      <c r="RPH3" s="525"/>
      <c r="RPI3" s="525"/>
      <c r="RPJ3" s="525"/>
      <c r="RPK3" s="525"/>
      <c r="RPL3" s="525"/>
      <c r="RPM3" s="525"/>
      <c r="RPN3" s="525"/>
      <c r="RPO3" s="525"/>
      <c r="RPP3" s="525"/>
      <c r="RPQ3" s="525"/>
      <c r="RPR3" s="525"/>
      <c r="RPS3" s="525"/>
      <c r="RPT3" s="525"/>
      <c r="RPU3" s="525"/>
      <c r="RPV3" s="525"/>
      <c r="RPW3" s="525"/>
      <c r="RPX3" s="525"/>
      <c r="RPY3" s="525"/>
      <c r="RPZ3" s="525"/>
      <c r="RQA3" s="525"/>
      <c r="RQB3" s="525"/>
      <c r="RQC3" s="525"/>
      <c r="RQD3" s="525"/>
      <c r="RQE3" s="525"/>
      <c r="RQF3" s="525"/>
      <c r="RQG3" s="525"/>
      <c r="RQH3" s="525"/>
      <c r="RQI3" s="525"/>
      <c r="RQJ3" s="525"/>
      <c r="RQK3" s="525"/>
      <c r="RQL3" s="525"/>
      <c r="RQM3" s="525"/>
      <c r="RQN3" s="525"/>
      <c r="RQO3" s="525"/>
      <c r="RQP3" s="525"/>
      <c r="RQQ3" s="525"/>
      <c r="RQR3" s="525"/>
      <c r="RQS3" s="525"/>
      <c r="RQT3" s="525"/>
      <c r="RQU3" s="525"/>
      <c r="RQV3" s="525"/>
      <c r="RQW3" s="525"/>
      <c r="RQX3" s="525"/>
      <c r="RQY3" s="525"/>
      <c r="RQZ3" s="525"/>
      <c r="RRA3" s="525"/>
      <c r="RRB3" s="525"/>
      <c r="RRC3" s="525"/>
      <c r="RRD3" s="525"/>
      <c r="RRE3" s="525"/>
      <c r="RRF3" s="525"/>
      <c r="RRG3" s="525"/>
      <c r="RRH3" s="525"/>
      <c r="RRI3" s="525"/>
      <c r="RRJ3" s="525"/>
      <c r="RRK3" s="525"/>
      <c r="RRL3" s="525"/>
      <c r="RRM3" s="525"/>
      <c r="RRN3" s="525"/>
      <c r="RRO3" s="525"/>
      <c r="RRP3" s="525"/>
      <c r="RRQ3" s="525"/>
      <c r="RRR3" s="525"/>
      <c r="RRS3" s="525"/>
      <c r="RRT3" s="525"/>
      <c r="RRU3" s="525"/>
      <c r="RRV3" s="525"/>
      <c r="RRW3" s="525"/>
      <c r="RRX3" s="525"/>
      <c r="RRY3" s="525"/>
      <c r="RRZ3" s="525"/>
      <c r="RSA3" s="525"/>
      <c r="RSB3" s="525"/>
      <c r="RSC3" s="525"/>
      <c r="RSD3" s="525"/>
      <c r="RSE3" s="525"/>
      <c r="RSF3" s="525"/>
      <c r="RSG3" s="525"/>
      <c r="RSH3" s="525"/>
      <c r="RSI3" s="525"/>
      <c r="RSJ3" s="525"/>
      <c r="RSK3" s="525"/>
      <c r="RSL3" s="525"/>
      <c r="RSM3" s="525"/>
      <c r="RSN3" s="525"/>
      <c r="RSO3" s="525"/>
      <c r="RSP3" s="525"/>
      <c r="RSQ3" s="525"/>
      <c r="RSR3" s="525"/>
      <c r="RSS3" s="525"/>
      <c r="RST3" s="525"/>
      <c r="RSU3" s="525"/>
      <c r="RSV3" s="525"/>
      <c r="RSW3" s="525"/>
      <c r="RSX3" s="525"/>
      <c r="RSY3" s="525"/>
      <c r="RSZ3" s="525"/>
      <c r="RTA3" s="525"/>
      <c r="RTB3" s="525"/>
      <c r="RTC3" s="525"/>
      <c r="RTD3" s="525"/>
      <c r="RTE3" s="525"/>
      <c r="RTF3" s="525"/>
      <c r="RTG3" s="525"/>
      <c r="RTH3" s="525"/>
      <c r="RTI3" s="525"/>
      <c r="RTJ3" s="525"/>
      <c r="RTK3" s="525"/>
      <c r="RTL3" s="525"/>
      <c r="RTM3" s="525"/>
      <c r="RTN3" s="525"/>
      <c r="RTO3" s="525"/>
      <c r="RTP3" s="525"/>
      <c r="RTQ3" s="525"/>
      <c r="RTR3" s="525"/>
      <c r="RTS3" s="525"/>
      <c r="RTT3" s="525"/>
      <c r="RTU3" s="525"/>
      <c r="RTV3" s="525"/>
      <c r="RTW3" s="525"/>
      <c r="RTX3" s="525"/>
      <c r="RTY3" s="525"/>
      <c r="RTZ3" s="525"/>
      <c r="RUA3" s="525"/>
      <c r="RUB3" s="525"/>
      <c r="RUC3" s="525"/>
      <c r="RUD3" s="525"/>
      <c r="RUE3" s="525"/>
      <c r="RUF3" s="525"/>
      <c r="RUG3" s="525"/>
      <c r="RUH3" s="525"/>
      <c r="RUI3" s="525"/>
      <c r="RUJ3" s="525"/>
      <c r="RUK3" s="525"/>
      <c r="RUL3" s="525"/>
      <c r="RUM3" s="525"/>
      <c r="RUN3" s="525"/>
      <c r="RUO3" s="525"/>
      <c r="RUP3" s="525"/>
      <c r="RUQ3" s="525"/>
      <c r="RUR3" s="525"/>
      <c r="RUS3" s="525"/>
      <c r="RUT3" s="525"/>
      <c r="RUU3" s="525"/>
      <c r="RUV3" s="525"/>
      <c r="RUW3" s="525"/>
      <c r="RUX3" s="525"/>
      <c r="RUY3" s="525"/>
      <c r="RUZ3" s="525"/>
      <c r="RVA3" s="525"/>
      <c r="RVB3" s="525"/>
      <c r="RVC3" s="525"/>
      <c r="RVD3" s="525"/>
      <c r="RVE3" s="525"/>
      <c r="RVF3" s="525"/>
      <c r="RVG3" s="525"/>
      <c r="RVH3" s="525"/>
      <c r="RVI3" s="525"/>
      <c r="RVJ3" s="525"/>
      <c r="RVK3" s="525"/>
      <c r="RVL3" s="525"/>
      <c r="RVM3" s="525"/>
      <c r="RVN3" s="525"/>
      <c r="RVO3" s="525"/>
      <c r="RVP3" s="525"/>
      <c r="RVQ3" s="525"/>
      <c r="RVR3" s="525"/>
      <c r="RVS3" s="525"/>
      <c r="RVT3" s="525"/>
      <c r="RVU3" s="525"/>
      <c r="RVV3" s="525"/>
      <c r="RVW3" s="525"/>
      <c r="RVX3" s="525"/>
      <c r="RVY3" s="525"/>
      <c r="RVZ3" s="525"/>
      <c r="RWA3" s="525"/>
      <c r="RWB3" s="525"/>
      <c r="RWC3" s="525"/>
      <c r="RWD3" s="525"/>
      <c r="RWE3" s="525"/>
      <c r="RWF3" s="525"/>
      <c r="RWG3" s="525"/>
      <c r="RWH3" s="525"/>
      <c r="RWI3" s="525"/>
      <c r="RWJ3" s="525"/>
      <c r="RWK3" s="525"/>
      <c r="RWL3" s="525"/>
      <c r="RWM3" s="525"/>
      <c r="RWN3" s="525"/>
      <c r="RWO3" s="525"/>
      <c r="RWP3" s="525"/>
      <c r="RWQ3" s="525"/>
      <c r="RWR3" s="525"/>
      <c r="RWS3" s="525"/>
      <c r="RWT3" s="525"/>
      <c r="RWU3" s="525"/>
      <c r="RWV3" s="525"/>
      <c r="RWW3" s="525"/>
      <c r="RWX3" s="525"/>
      <c r="RWY3" s="525"/>
      <c r="RWZ3" s="525"/>
      <c r="RXA3" s="525"/>
      <c r="RXB3" s="525"/>
      <c r="RXC3" s="525"/>
      <c r="RXD3" s="525"/>
      <c r="RXE3" s="525"/>
      <c r="RXF3" s="525"/>
      <c r="RXG3" s="525"/>
      <c r="RXH3" s="525"/>
      <c r="RXI3" s="525"/>
      <c r="RXJ3" s="525"/>
      <c r="RXK3" s="525"/>
      <c r="RXL3" s="525"/>
      <c r="RXM3" s="525"/>
      <c r="RXN3" s="525"/>
      <c r="RXO3" s="525"/>
      <c r="RXP3" s="525"/>
      <c r="RXQ3" s="525"/>
      <c r="RXR3" s="525"/>
      <c r="RXS3" s="525"/>
      <c r="RXT3" s="525"/>
      <c r="RXU3" s="525"/>
      <c r="RXV3" s="525"/>
      <c r="RXW3" s="525"/>
      <c r="RXX3" s="525"/>
      <c r="RXY3" s="525"/>
      <c r="RXZ3" s="525"/>
      <c r="RYA3" s="525"/>
      <c r="RYB3" s="525"/>
      <c r="RYC3" s="525"/>
      <c r="RYD3" s="525"/>
      <c r="RYE3" s="525"/>
      <c r="RYF3" s="525"/>
      <c r="RYG3" s="525"/>
      <c r="RYH3" s="525"/>
      <c r="RYI3" s="525"/>
      <c r="RYJ3" s="525"/>
      <c r="RYK3" s="525"/>
      <c r="RYL3" s="525"/>
      <c r="RYM3" s="525"/>
      <c r="RYN3" s="525"/>
      <c r="RYO3" s="525"/>
      <c r="RYP3" s="525"/>
      <c r="RYQ3" s="525"/>
      <c r="RYR3" s="525"/>
      <c r="RYS3" s="525"/>
      <c r="RYT3" s="525"/>
      <c r="RYU3" s="525"/>
      <c r="RYV3" s="525"/>
      <c r="RYW3" s="525"/>
      <c r="RYX3" s="525"/>
      <c r="RYY3" s="525"/>
      <c r="RYZ3" s="525"/>
      <c r="RZA3" s="525"/>
      <c r="RZB3" s="525"/>
      <c r="RZC3" s="525"/>
      <c r="RZD3" s="525"/>
      <c r="RZE3" s="525"/>
      <c r="RZF3" s="525"/>
      <c r="RZG3" s="525"/>
      <c r="RZH3" s="525"/>
      <c r="RZI3" s="525"/>
      <c r="RZJ3" s="525"/>
      <c r="RZK3" s="525"/>
      <c r="RZL3" s="525"/>
      <c r="RZM3" s="525"/>
      <c r="RZN3" s="525"/>
      <c r="RZO3" s="525"/>
      <c r="RZP3" s="525"/>
      <c r="RZQ3" s="525"/>
      <c r="RZR3" s="525"/>
      <c r="RZS3" s="525"/>
      <c r="RZT3" s="525"/>
      <c r="RZU3" s="525"/>
      <c r="RZV3" s="525"/>
      <c r="RZW3" s="525"/>
      <c r="RZX3" s="525"/>
      <c r="RZY3" s="525"/>
      <c r="RZZ3" s="525"/>
      <c r="SAA3" s="525"/>
      <c r="SAB3" s="525"/>
      <c r="SAC3" s="525"/>
      <c r="SAD3" s="525"/>
      <c r="SAE3" s="525"/>
      <c r="SAF3" s="525"/>
      <c r="SAG3" s="525"/>
      <c r="SAH3" s="525"/>
      <c r="SAI3" s="525"/>
      <c r="SAJ3" s="525"/>
      <c r="SAK3" s="525"/>
      <c r="SAL3" s="525"/>
      <c r="SAM3" s="525"/>
      <c r="SAN3" s="525"/>
      <c r="SAO3" s="525"/>
      <c r="SAP3" s="525"/>
      <c r="SAQ3" s="525"/>
      <c r="SAR3" s="525"/>
      <c r="SAS3" s="525"/>
      <c r="SAT3" s="525"/>
      <c r="SAU3" s="525"/>
      <c r="SAV3" s="525"/>
      <c r="SAW3" s="525"/>
      <c r="SAX3" s="525"/>
      <c r="SAY3" s="525"/>
      <c r="SAZ3" s="525"/>
      <c r="SBA3" s="525"/>
      <c r="SBB3" s="525"/>
      <c r="SBC3" s="525"/>
      <c r="SBD3" s="525"/>
      <c r="SBE3" s="525"/>
      <c r="SBF3" s="525"/>
      <c r="SBG3" s="525"/>
      <c r="SBH3" s="525"/>
      <c r="SBI3" s="525"/>
      <c r="SBJ3" s="525"/>
      <c r="SBK3" s="525"/>
      <c r="SBL3" s="525"/>
      <c r="SBM3" s="525"/>
      <c r="SBN3" s="525"/>
      <c r="SBO3" s="525"/>
      <c r="SBP3" s="525"/>
      <c r="SBQ3" s="525"/>
      <c r="SBR3" s="525"/>
      <c r="SBS3" s="525"/>
      <c r="SBT3" s="525"/>
      <c r="SBU3" s="525"/>
      <c r="SBV3" s="525"/>
      <c r="SBW3" s="525"/>
      <c r="SBX3" s="525"/>
      <c r="SBY3" s="525"/>
      <c r="SBZ3" s="525"/>
      <c r="SCA3" s="525"/>
      <c r="SCB3" s="525"/>
      <c r="SCC3" s="525"/>
      <c r="SCD3" s="525"/>
      <c r="SCE3" s="525"/>
      <c r="SCF3" s="525"/>
      <c r="SCG3" s="525"/>
      <c r="SCH3" s="525"/>
      <c r="SCI3" s="525"/>
      <c r="SCJ3" s="525"/>
      <c r="SCK3" s="525"/>
      <c r="SCL3" s="525"/>
      <c r="SCM3" s="525"/>
      <c r="SCN3" s="525"/>
      <c r="SCO3" s="525"/>
      <c r="SCP3" s="525"/>
      <c r="SCQ3" s="525"/>
      <c r="SCR3" s="525"/>
      <c r="SCS3" s="525"/>
      <c r="SCT3" s="525"/>
      <c r="SCU3" s="525"/>
      <c r="SCV3" s="525"/>
      <c r="SCW3" s="525"/>
      <c r="SCX3" s="525"/>
      <c r="SCY3" s="525"/>
      <c r="SCZ3" s="525"/>
      <c r="SDA3" s="525"/>
      <c r="SDB3" s="525"/>
      <c r="SDC3" s="525"/>
      <c r="SDD3" s="525"/>
      <c r="SDE3" s="525"/>
      <c r="SDF3" s="525"/>
      <c r="SDG3" s="525"/>
      <c r="SDH3" s="525"/>
      <c r="SDI3" s="525"/>
      <c r="SDJ3" s="525"/>
      <c r="SDK3" s="525"/>
      <c r="SDL3" s="525"/>
      <c r="SDM3" s="525"/>
      <c r="SDN3" s="525"/>
      <c r="SDO3" s="525"/>
      <c r="SDP3" s="525"/>
      <c r="SDQ3" s="525"/>
      <c r="SDR3" s="525"/>
      <c r="SDS3" s="525"/>
      <c r="SDT3" s="525"/>
      <c r="SDU3" s="525"/>
      <c r="SDV3" s="525"/>
      <c r="SDW3" s="525"/>
      <c r="SDX3" s="525"/>
      <c r="SDY3" s="525"/>
      <c r="SDZ3" s="525"/>
      <c r="SEA3" s="525"/>
      <c r="SEB3" s="525"/>
      <c r="SEC3" s="525"/>
      <c r="SED3" s="525"/>
      <c r="SEE3" s="525"/>
      <c r="SEF3" s="525"/>
      <c r="SEG3" s="525"/>
      <c r="SEH3" s="525"/>
      <c r="SEI3" s="525"/>
      <c r="SEJ3" s="525"/>
      <c r="SEK3" s="525"/>
      <c r="SEL3" s="525"/>
      <c r="SEM3" s="525"/>
      <c r="SEN3" s="525"/>
      <c r="SEO3" s="525"/>
      <c r="SEP3" s="525"/>
      <c r="SEQ3" s="525"/>
      <c r="SER3" s="525"/>
      <c r="SES3" s="525"/>
      <c r="SET3" s="525"/>
      <c r="SEU3" s="525"/>
      <c r="SEV3" s="525"/>
      <c r="SEW3" s="525"/>
      <c r="SEX3" s="525"/>
      <c r="SEY3" s="525"/>
      <c r="SEZ3" s="525"/>
      <c r="SFA3" s="525"/>
      <c r="SFB3" s="525"/>
      <c r="SFC3" s="525"/>
      <c r="SFD3" s="525"/>
      <c r="SFE3" s="525"/>
      <c r="SFF3" s="525"/>
      <c r="SFG3" s="525"/>
      <c r="SFH3" s="525"/>
      <c r="SFI3" s="525"/>
      <c r="SFJ3" s="525"/>
      <c r="SFK3" s="525"/>
      <c r="SFL3" s="525"/>
      <c r="SFM3" s="525"/>
      <c r="SFN3" s="525"/>
      <c r="SFO3" s="525"/>
      <c r="SFP3" s="525"/>
      <c r="SFQ3" s="525"/>
      <c r="SFR3" s="525"/>
      <c r="SFS3" s="525"/>
      <c r="SFT3" s="525"/>
      <c r="SFU3" s="525"/>
      <c r="SFV3" s="525"/>
      <c r="SFW3" s="525"/>
      <c r="SFX3" s="525"/>
      <c r="SFY3" s="525"/>
      <c r="SFZ3" s="525"/>
      <c r="SGA3" s="525"/>
      <c r="SGB3" s="525"/>
      <c r="SGC3" s="525"/>
      <c r="SGD3" s="525"/>
      <c r="SGE3" s="525"/>
      <c r="SGF3" s="525"/>
      <c r="SGG3" s="525"/>
      <c r="SGH3" s="525"/>
      <c r="SGI3" s="525"/>
      <c r="SGJ3" s="525"/>
      <c r="SGK3" s="525"/>
      <c r="SGL3" s="525"/>
      <c r="SGM3" s="525"/>
      <c r="SGN3" s="525"/>
      <c r="SGO3" s="525"/>
      <c r="SGP3" s="525"/>
      <c r="SGQ3" s="525"/>
      <c r="SGR3" s="525"/>
      <c r="SGS3" s="525"/>
      <c r="SGT3" s="525"/>
      <c r="SGU3" s="525"/>
      <c r="SGV3" s="525"/>
      <c r="SGW3" s="525"/>
      <c r="SGX3" s="525"/>
      <c r="SGY3" s="525"/>
      <c r="SGZ3" s="525"/>
      <c r="SHA3" s="525"/>
      <c r="SHB3" s="525"/>
      <c r="SHC3" s="525"/>
      <c r="SHD3" s="525"/>
      <c r="SHE3" s="525"/>
      <c r="SHF3" s="525"/>
      <c r="SHG3" s="525"/>
      <c r="SHH3" s="525"/>
      <c r="SHI3" s="525"/>
      <c r="SHJ3" s="525"/>
      <c r="SHK3" s="525"/>
      <c r="SHL3" s="525"/>
      <c r="SHM3" s="525"/>
      <c r="SHN3" s="525"/>
      <c r="SHO3" s="525"/>
      <c r="SHP3" s="525"/>
      <c r="SHQ3" s="525"/>
      <c r="SHR3" s="525"/>
      <c r="SHS3" s="525"/>
      <c r="SHT3" s="525"/>
      <c r="SHU3" s="525"/>
      <c r="SHV3" s="525"/>
      <c r="SHW3" s="525"/>
      <c r="SHX3" s="525"/>
      <c r="SHY3" s="525"/>
      <c r="SHZ3" s="525"/>
      <c r="SIA3" s="525"/>
      <c r="SIB3" s="525"/>
      <c r="SIC3" s="525"/>
      <c r="SID3" s="525"/>
      <c r="SIE3" s="525"/>
      <c r="SIF3" s="525"/>
      <c r="SIG3" s="525"/>
      <c r="SIH3" s="525"/>
      <c r="SII3" s="525"/>
      <c r="SIJ3" s="525"/>
      <c r="SIK3" s="525"/>
      <c r="SIL3" s="525"/>
      <c r="SIM3" s="525"/>
      <c r="SIN3" s="525"/>
      <c r="SIO3" s="525"/>
      <c r="SIP3" s="525"/>
      <c r="SIQ3" s="525"/>
      <c r="SIR3" s="525"/>
      <c r="SIS3" s="525"/>
      <c r="SIT3" s="525"/>
      <c r="SIU3" s="525"/>
      <c r="SIV3" s="525"/>
      <c r="SIW3" s="525"/>
      <c r="SIX3" s="525"/>
      <c r="SIY3" s="525"/>
      <c r="SIZ3" s="525"/>
      <c r="SJA3" s="525"/>
      <c r="SJB3" s="525"/>
      <c r="SJC3" s="525"/>
      <c r="SJD3" s="525"/>
      <c r="SJE3" s="525"/>
      <c r="SJF3" s="525"/>
      <c r="SJG3" s="525"/>
      <c r="SJH3" s="525"/>
      <c r="SJI3" s="525"/>
      <c r="SJJ3" s="525"/>
      <c r="SJK3" s="525"/>
      <c r="SJL3" s="525"/>
      <c r="SJM3" s="525"/>
      <c r="SJN3" s="525"/>
      <c r="SJO3" s="525"/>
      <c r="SJP3" s="525"/>
      <c r="SJQ3" s="525"/>
      <c r="SJR3" s="525"/>
      <c r="SJS3" s="525"/>
      <c r="SJT3" s="525"/>
      <c r="SJU3" s="525"/>
      <c r="SJV3" s="525"/>
      <c r="SJW3" s="525"/>
      <c r="SJX3" s="525"/>
      <c r="SJY3" s="525"/>
      <c r="SJZ3" s="525"/>
      <c r="SKA3" s="525"/>
      <c r="SKB3" s="525"/>
      <c r="SKC3" s="525"/>
      <c r="SKD3" s="525"/>
      <c r="SKE3" s="525"/>
      <c r="SKF3" s="525"/>
      <c r="SKG3" s="525"/>
      <c r="SKH3" s="525"/>
      <c r="SKI3" s="525"/>
      <c r="SKJ3" s="525"/>
      <c r="SKK3" s="525"/>
      <c r="SKL3" s="525"/>
      <c r="SKM3" s="525"/>
      <c r="SKN3" s="525"/>
      <c r="SKO3" s="525"/>
      <c r="SKP3" s="525"/>
      <c r="SKQ3" s="525"/>
      <c r="SKR3" s="525"/>
      <c r="SKS3" s="525"/>
      <c r="SKT3" s="525"/>
      <c r="SKU3" s="525"/>
      <c r="SKV3" s="525"/>
      <c r="SKW3" s="525"/>
      <c r="SKX3" s="525"/>
      <c r="SKY3" s="525"/>
      <c r="SKZ3" s="525"/>
      <c r="SLA3" s="525"/>
      <c r="SLB3" s="525"/>
      <c r="SLC3" s="525"/>
      <c r="SLD3" s="525"/>
      <c r="SLE3" s="525"/>
      <c r="SLF3" s="525"/>
      <c r="SLG3" s="525"/>
      <c r="SLH3" s="525"/>
      <c r="SLI3" s="525"/>
      <c r="SLJ3" s="525"/>
      <c r="SLK3" s="525"/>
      <c r="SLL3" s="525"/>
      <c r="SLM3" s="525"/>
      <c r="SLN3" s="525"/>
      <c r="SLO3" s="525"/>
      <c r="SLP3" s="525"/>
      <c r="SLQ3" s="525"/>
      <c r="SLR3" s="525"/>
      <c r="SLS3" s="525"/>
      <c r="SLT3" s="525"/>
      <c r="SLU3" s="525"/>
      <c r="SLV3" s="525"/>
      <c r="SLW3" s="525"/>
      <c r="SLX3" s="525"/>
      <c r="SLY3" s="525"/>
      <c r="SLZ3" s="525"/>
      <c r="SMA3" s="525"/>
      <c r="SMB3" s="525"/>
      <c r="SMC3" s="525"/>
      <c r="SMD3" s="525"/>
      <c r="SME3" s="525"/>
      <c r="SMF3" s="525"/>
      <c r="SMG3" s="525"/>
      <c r="SMH3" s="525"/>
      <c r="SMI3" s="525"/>
      <c r="SMJ3" s="525"/>
      <c r="SMK3" s="525"/>
      <c r="SML3" s="525"/>
      <c r="SMM3" s="525"/>
      <c r="SMN3" s="525"/>
      <c r="SMO3" s="525"/>
      <c r="SMP3" s="525"/>
      <c r="SMQ3" s="525"/>
      <c r="SMR3" s="525"/>
      <c r="SMS3" s="525"/>
      <c r="SMT3" s="525"/>
      <c r="SMU3" s="525"/>
      <c r="SMV3" s="525"/>
      <c r="SMW3" s="525"/>
      <c r="SMX3" s="525"/>
      <c r="SMY3" s="525"/>
      <c r="SMZ3" s="525"/>
      <c r="SNA3" s="525"/>
      <c r="SNB3" s="525"/>
      <c r="SNC3" s="525"/>
      <c r="SND3" s="525"/>
      <c r="SNE3" s="525"/>
      <c r="SNF3" s="525"/>
      <c r="SNG3" s="525"/>
      <c r="SNH3" s="525"/>
      <c r="SNI3" s="525"/>
      <c r="SNJ3" s="525"/>
      <c r="SNK3" s="525"/>
      <c r="SNL3" s="525"/>
      <c r="SNM3" s="525"/>
      <c r="SNN3" s="525"/>
      <c r="SNO3" s="525"/>
      <c r="SNP3" s="525"/>
      <c r="SNQ3" s="525"/>
      <c r="SNR3" s="525"/>
      <c r="SNS3" s="525"/>
      <c r="SNT3" s="525"/>
      <c r="SNU3" s="525"/>
      <c r="SNV3" s="525"/>
      <c r="SNW3" s="525"/>
      <c r="SNX3" s="525"/>
      <c r="SNY3" s="525"/>
      <c r="SNZ3" s="525"/>
      <c r="SOA3" s="525"/>
      <c r="SOB3" s="525"/>
      <c r="SOC3" s="525"/>
      <c r="SOD3" s="525"/>
      <c r="SOE3" s="525"/>
      <c r="SOF3" s="525"/>
      <c r="SOG3" s="525"/>
      <c r="SOH3" s="525"/>
      <c r="SOI3" s="525"/>
      <c r="SOJ3" s="525"/>
      <c r="SOK3" s="525"/>
      <c r="SOL3" s="525"/>
      <c r="SOM3" s="525"/>
      <c r="SON3" s="525"/>
      <c r="SOO3" s="525"/>
      <c r="SOP3" s="525"/>
      <c r="SOQ3" s="525"/>
      <c r="SOR3" s="525"/>
      <c r="SOS3" s="525"/>
      <c r="SOT3" s="525"/>
      <c r="SOU3" s="525"/>
      <c r="SOV3" s="525"/>
      <c r="SOW3" s="525"/>
      <c r="SOX3" s="525"/>
      <c r="SOY3" s="525"/>
      <c r="SOZ3" s="525"/>
      <c r="SPA3" s="525"/>
      <c r="SPB3" s="525"/>
      <c r="SPC3" s="525"/>
      <c r="SPD3" s="525"/>
      <c r="SPE3" s="525"/>
      <c r="SPF3" s="525"/>
      <c r="SPG3" s="525"/>
      <c r="SPH3" s="525"/>
      <c r="SPI3" s="525"/>
      <c r="SPJ3" s="525"/>
      <c r="SPK3" s="525"/>
      <c r="SPL3" s="525"/>
      <c r="SPM3" s="525"/>
      <c r="SPN3" s="525"/>
      <c r="SPO3" s="525"/>
      <c r="SPP3" s="525"/>
      <c r="SPQ3" s="525"/>
      <c r="SPR3" s="525"/>
      <c r="SPS3" s="525"/>
      <c r="SPT3" s="525"/>
      <c r="SPU3" s="525"/>
      <c r="SPV3" s="525"/>
      <c r="SPW3" s="525"/>
      <c r="SPX3" s="525"/>
      <c r="SPY3" s="525"/>
      <c r="SPZ3" s="525"/>
      <c r="SQA3" s="525"/>
      <c r="SQB3" s="525"/>
      <c r="SQC3" s="525"/>
      <c r="SQD3" s="525"/>
      <c r="SQE3" s="525"/>
      <c r="SQF3" s="525"/>
      <c r="SQG3" s="525"/>
      <c r="SQH3" s="525"/>
      <c r="SQI3" s="525"/>
      <c r="SQJ3" s="525"/>
      <c r="SQK3" s="525"/>
      <c r="SQL3" s="525"/>
      <c r="SQM3" s="525"/>
      <c r="SQN3" s="525"/>
      <c r="SQO3" s="525"/>
      <c r="SQP3" s="525"/>
      <c r="SQQ3" s="525"/>
      <c r="SQR3" s="525"/>
      <c r="SQS3" s="525"/>
      <c r="SQT3" s="525"/>
      <c r="SQU3" s="525"/>
      <c r="SQV3" s="525"/>
      <c r="SQW3" s="525"/>
      <c r="SQX3" s="525"/>
      <c r="SQY3" s="525"/>
      <c r="SQZ3" s="525"/>
      <c r="SRA3" s="525"/>
      <c r="SRB3" s="525"/>
      <c r="SRC3" s="525"/>
      <c r="SRD3" s="525"/>
      <c r="SRE3" s="525"/>
      <c r="SRF3" s="525"/>
      <c r="SRG3" s="525"/>
      <c r="SRH3" s="525"/>
      <c r="SRI3" s="525"/>
      <c r="SRJ3" s="525"/>
      <c r="SRK3" s="525"/>
      <c r="SRL3" s="525"/>
      <c r="SRM3" s="525"/>
      <c r="SRN3" s="525"/>
      <c r="SRO3" s="525"/>
      <c r="SRP3" s="525"/>
      <c r="SRQ3" s="525"/>
      <c r="SRR3" s="525"/>
      <c r="SRS3" s="525"/>
      <c r="SRT3" s="525"/>
      <c r="SRU3" s="525"/>
      <c r="SRV3" s="525"/>
      <c r="SRW3" s="525"/>
      <c r="SRX3" s="525"/>
      <c r="SRY3" s="525"/>
      <c r="SRZ3" s="525"/>
      <c r="SSA3" s="525"/>
      <c r="SSB3" s="525"/>
      <c r="SSC3" s="525"/>
      <c r="SSD3" s="525"/>
      <c r="SSE3" s="525"/>
      <c r="SSF3" s="525"/>
      <c r="SSG3" s="525"/>
      <c r="SSH3" s="525"/>
      <c r="SSI3" s="525"/>
      <c r="SSJ3" s="525"/>
      <c r="SSK3" s="525"/>
      <c r="SSL3" s="525"/>
      <c r="SSM3" s="525"/>
      <c r="SSN3" s="525"/>
      <c r="SSO3" s="525"/>
      <c r="SSP3" s="525"/>
      <c r="SSQ3" s="525"/>
      <c r="SSR3" s="525"/>
      <c r="SSS3" s="525"/>
      <c r="SST3" s="525"/>
      <c r="SSU3" s="525"/>
      <c r="SSV3" s="525"/>
      <c r="SSW3" s="525"/>
      <c r="SSX3" s="525"/>
      <c r="SSY3" s="525"/>
      <c r="SSZ3" s="525"/>
      <c r="STA3" s="525"/>
      <c r="STB3" s="525"/>
      <c r="STC3" s="525"/>
      <c r="STD3" s="525"/>
      <c r="STE3" s="525"/>
      <c r="STF3" s="525"/>
      <c r="STG3" s="525"/>
      <c r="STH3" s="525"/>
      <c r="STI3" s="525"/>
      <c r="STJ3" s="525"/>
      <c r="STK3" s="525"/>
      <c r="STL3" s="525"/>
      <c r="STM3" s="525"/>
      <c r="STN3" s="525"/>
      <c r="STO3" s="525"/>
      <c r="STP3" s="525"/>
      <c r="STQ3" s="525"/>
      <c r="STR3" s="525"/>
      <c r="STS3" s="525"/>
      <c r="STT3" s="525"/>
      <c r="STU3" s="525"/>
      <c r="STV3" s="525"/>
      <c r="STW3" s="525"/>
      <c r="STX3" s="525"/>
      <c r="STY3" s="525"/>
      <c r="STZ3" s="525"/>
      <c r="SUA3" s="525"/>
      <c r="SUB3" s="525"/>
      <c r="SUC3" s="525"/>
      <c r="SUD3" s="525"/>
      <c r="SUE3" s="525"/>
      <c r="SUF3" s="525"/>
      <c r="SUG3" s="525"/>
      <c r="SUH3" s="525"/>
      <c r="SUI3" s="525"/>
      <c r="SUJ3" s="525"/>
      <c r="SUK3" s="525"/>
      <c r="SUL3" s="525"/>
      <c r="SUM3" s="525"/>
      <c r="SUN3" s="525"/>
      <c r="SUO3" s="525"/>
      <c r="SUP3" s="525"/>
      <c r="SUQ3" s="525"/>
      <c r="SUR3" s="525"/>
      <c r="SUS3" s="525"/>
      <c r="SUT3" s="525"/>
      <c r="SUU3" s="525"/>
      <c r="SUV3" s="525"/>
      <c r="SUW3" s="525"/>
      <c r="SUX3" s="525"/>
      <c r="SUY3" s="525"/>
      <c r="SUZ3" s="525"/>
      <c r="SVA3" s="525"/>
      <c r="SVB3" s="525"/>
      <c r="SVC3" s="525"/>
      <c r="SVD3" s="525"/>
      <c r="SVE3" s="525"/>
      <c r="SVF3" s="525"/>
      <c r="SVG3" s="525"/>
      <c r="SVH3" s="525"/>
      <c r="SVI3" s="525"/>
      <c r="SVJ3" s="525"/>
      <c r="SVK3" s="525"/>
      <c r="SVL3" s="525"/>
      <c r="SVM3" s="525"/>
      <c r="SVN3" s="525"/>
      <c r="SVO3" s="525"/>
      <c r="SVP3" s="525"/>
      <c r="SVQ3" s="525"/>
      <c r="SVR3" s="525"/>
      <c r="SVS3" s="525"/>
      <c r="SVT3" s="525"/>
      <c r="SVU3" s="525"/>
      <c r="SVV3" s="525"/>
      <c r="SVW3" s="525"/>
      <c r="SVX3" s="525"/>
      <c r="SVY3" s="525"/>
      <c r="SVZ3" s="525"/>
      <c r="SWA3" s="525"/>
      <c r="SWB3" s="525"/>
      <c r="SWC3" s="525"/>
      <c r="SWD3" s="525"/>
      <c r="SWE3" s="525"/>
      <c r="SWF3" s="525"/>
      <c r="SWG3" s="525"/>
      <c r="SWH3" s="525"/>
      <c r="SWI3" s="525"/>
      <c r="SWJ3" s="525"/>
      <c r="SWK3" s="525"/>
      <c r="SWL3" s="525"/>
      <c r="SWM3" s="525"/>
      <c r="SWN3" s="525"/>
      <c r="SWO3" s="525"/>
      <c r="SWP3" s="525"/>
      <c r="SWQ3" s="525"/>
      <c r="SWR3" s="525"/>
      <c r="SWS3" s="525"/>
      <c r="SWT3" s="525"/>
      <c r="SWU3" s="525"/>
      <c r="SWV3" s="525"/>
      <c r="SWW3" s="525"/>
      <c r="SWX3" s="525"/>
      <c r="SWY3" s="525"/>
      <c r="SWZ3" s="525"/>
      <c r="SXA3" s="525"/>
      <c r="SXB3" s="525"/>
      <c r="SXC3" s="525"/>
      <c r="SXD3" s="525"/>
      <c r="SXE3" s="525"/>
      <c r="SXF3" s="525"/>
      <c r="SXG3" s="525"/>
      <c r="SXH3" s="525"/>
      <c r="SXI3" s="525"/>
      <c r="SXJ3" s="525"/>
      <c r="SXK3" s="525"/>
      <c r="SXL3" s="525"/>
      <c r="SXM3" s="525"/>
      <c r="SXN3" s="525"/>
      <c r="SXO3" s="525"/>
      <c r="SXP3" s="525"/>
      <c r="SXQ3" s="525"/>
      <c r="SXR3" s="525"/>
      <c r="SXS3" s="525"/>
      <c r="SXT3" s="525"/>
      <c r="SXU3" s="525"/>
      <c r="SXV3" s="525"/>
      <c r="SXW3" s="525"/>
      <c r="SXX3" s="525"/>
      <c r="SXY3" s="525"/>
      <c r="SXZ3" s="525"/>
      <c r="SYA3" s="525"/>
      <c r="SYB3" s="525"/>
      <c r="SYC3" s="525"/>
      <c r="SYD3" s="525"/>
      <c r="SYE3" s="525"/>
      <c r="SYF3" s="525"/>
      <c r="SYG3" s="525"/>
      <c r="SYH3" s="525"/>
      <c r="SYI3" s="525"/>
      <c r="SYJ3" s="525"/>
      <c r="SYK3" s="525"/>
      <c r="SYL3" s="525"/>
      <c r="SYM3" s="525"/>
      <c r="SYN3" s="525"/>
      <c r="SYO3" s="525"/>
      <c r="SYP3" s="525"/>
      <c r="SYQ3" s="525"/>
      <c r="SYR3" s="525"/>
      <c r="SYS3" s="525"/>
      <c r="SYT3" s="525"/>
      <c r="SYU3" s="525"/>
      <c r="SYV3" s="525"/>
      <c r="SYW3" s="525"/>
      <c r="SYX3" s="525"/>
      <c r="SYY3" s="525"/>
      <c r="SYZ3" s="525"/>
      <c r="SZA3" s="525"/>
      <c r="SZB3" s="525"/>
      <c r="SZC3" s="525"/>
      <c r="SZD3" s="525"/>
      <c r="SZE3" s="525"/>
      <c r="SZF3" s="525"/>
      <c r="SZG3" s="525"/>
      <c r="SZH3" s="525"/>
      <c r="SZI3" s="525"/>
      <c r="SZJ3" s="525"/>
      <c r="SZK3" s="525"/>
      <c r="SZL3" s="525"/>
      <c r="SZM3" s="525"/>
      <c r="SZN3" s="525"/>
      <c r="SZO3" s="525"/>
      <c r="SZP3" s="525"/>
      <c r="SZQ3" s="525"/>
      <c r="SZR3" s="525"/>
      <c r="SZS3" s="525"/>
      <c r="SZT3" s="525"/>
      <c r="SZU3" s="525"/>
      <c r="SZV3" s="525"/>
      <c r="SZW3" s="525"/>
      <c r="SZX3" s="525"/>
      <c r="SZY3" s="525"/>
      <c r="SZZ3" s="525"/>
      <c r="TAA3" s="525"/>
      <c r="TAB3" s="525"/>
      <c r="TAC3" s="525"/>
      <c r="TAD3" s="525"/>
      <c r="TAE3" s="525"/>
      <c r="TAF3" s="525"/>
      <c r="TAG3" s="525"/>
      <c r="TAH3" s="525"/>
      <c r="TAI3" s="525"/>
      <c r="TAJ3" s="525"/>
      <c r="TAK3" s="525"/>
      <c r="TAL3" s="525"/>
      <c r="TAM3" s="525"/>
      <c r="TAN3" s="525"/>
      <c r="TAO3" s="525"/>
      <c r="TAP3" s="525"/>
      <c r="TAQ3" s="525"/>
      <c r="TAR3" s="525"/>
      <c r="TAS3" s="525"/>
      <c r="TAT3" s="525"/>
      <c r="TAU3" s="525"/>
      <c r="TAV3" s="525"/>
      <c r="TAW3" s="525"/>
      <c r="TAX3" s="525"/>
      <c r="TAY3" s="525"/>
      <c r="TAZ3" s="525"/>
      <c r="TBA3" s="525"/>
      <c r="TBB3" s="525"/>
      <c r="TBC3" s="525"/>
      <c r="TBD3" s="525"/>
      <c r="TBE3" s="525"/>
      <c r="TBF3" s="525"/>
      <c r="TBG3" s="525"/>
      <c r="TBH3" s="525"/>
      <c r="TBI3" s="525"/>
      <c r="TBJ3" s="525"/>
      <c r="TBK3" s="525"/>
      <c r="TBL3" s="525"/>
      <c r="TBM3" s="525"/>
      <c r="TBN3" s="525"/>
      <c r="TBO3" s="525"/>
      <c r="TBP3" s="525"/>
      <c r="TBQ3" s="525"/>
      <c r="TBR3" s="525"/>
      <c r="TBS3" s="525"/>
      <c r="TBT3" s="525"/>
      <c r="TBU3" s="525"/>
      <c r="TBV3" s="525"/>
      <c r="TBW3" s="525"/>
      <c r="TBX3" s="525"/>
      <c r="TBY3" s="525"/>
      <c r="TBZ3" s="525"/>
      <c r="TCA3" s="525"/>
      <c r="TCB3" s="525"/>
      <c r="TCC3" s="525"/>
      <c r="TCD3" s="525"/>
      <c r="TCE3" s="525"/>
      <c r="TCF3" s="525"/>
      <c r="TCG3" s="525"/>
      <c r="TCH3" s="525"/>
      <c r="TCI3" s="525"/>
      <c r="TCJ3" s="525"/>
      <c r="TCK3" s="525"/>
      <c r="TCL3" s="525"/>
      <c r="TCM3" s="525"/>
      <c r="TCN3" s="525"/>
      <c r="TCO3" s="525"/>
      <c r="TCP3" s="525"/>
      <c r="TCQ3" s="525"/>
      <c r="TCR3" s="525"/>
      <c r="TCS3" s="525"/>
      <c r="TCT3" s="525"/>
      <c r="TCU3" s="525"/>
      <c r="TCV3" s="525"/>
      <c r="TCW3" s="525"/>
      <c r="TCX3" s="525"/>
      <c r="TCY3" s="525"/>
      <c r="TCZ3" s="525"/>
      <c r="TDA3" s="525"/>
      <c r="TDB3" s="525"/>
      <c r="TDC3" s="525"/>
      <c r="TDD3" s="525"/>
      <c r="TDE3" s="525"/>
      <c r="TDF3" s="525"/>
      <c r="TDG3" s="525"/>
      <c r="TDH3" s="525"/>
      <c r="TDI3" s="525"/>
      <c r="TDJ3" s="525"/>
      <c r="TDK3" s="525"/>
      <c r="TDL3" s="525"/>
      <c r="TDM3" s="525"/>
      <c r="TDN3" s="525"/>
      <c r="TDO3" s="525"/>
      <c r="TDP3" s="525"/>
      <c r="TDQ3" s="525"/>
      <c r="TDR3" s="525"/>
      <c r="TDS3" s="525"/>
      <c r="TDT3" s="525"/>
      <c r="TDU3" s="525"/>
      <c r="TDV3" s="525"/>
      <c r="TDW3" s="525"/>
      <c r="TDX3" s="525"/>
      <c r="TDY3" s="525"/>
      <c r="TDZ3" s="525"/>
      <c r="TEA3" s="525"/>
      <c r="TEB3" s="525"/>
      <c r="TEC3" s="525"/>
      <c r="TED3" s="525"/>
      <c r="TEE3" s="525"/>
      <c r="TEF3" s="525"/>
      <c r="TEG3" s="525"/>
      <c r="TEH3" s="525"/>
      <c r="TEI3" s="525"/>
      <c r="TEJ3" s="525"/>
      <c r="TEK3" s="525"/>
      <c r="TEL3" s="525"/>
      <c r="TEM3" s="525"/>
      <c r="TEN3" s="525"/>
      <c r="TEO3" s="525"/>
      <c r="TEP3" s="525"/>
      <c r="TEQ3" s="525"/>
      <c r="TER3" s="525"/>
      <c r="TES3" s="525"/>
      <c r="TET3" s="525"/>
      <c r="TEU3" s="525"/>
      <c r="TEV3" s="525"/>
      <c r="TEW3" s="525"/>
      <c r="TEX3" s="525"/>
      <c r="TEY3" s="525"/>
      <c r="TEZ3" s="525"/>
      <c r="TFA3" s="525"/>
      <c r="TFB3" s="525"/>
      <c r="TFC3" s="525"/>
      <c r="TFD3" s="525"/>
      <c r="TFE3" s="525"/>
      <c r="TFF3" s="525"/>
      <c r="TFG3" s="525"/>
      <c r="TFH3" s="525"/>
      <c r="TFI3" s="525"/>
      <c r="TFJ3" s="525"/>
      <c r="TFK3" s="525"/>
      <c r="TFL3" s="525"/>
      <c r="TFM3" s="525"/>
      <c r="TFN3" s="525"/>
      <c r="TFO3" s="525"/>
      <c r="TFP3" s="525"/>
      <c r="TFQ3" s="525"/>
      <c r="TFR3" s="525"/>
      <c r="TFS3" s="525"/>
      <c r="TFT3" s="525"/>
      <c r="TFU3" s="525"/>
      <c r="TFV3" s="525"/>
      <c r="TFW3" s="525"/>
      <c r="TFX3" s="525"/>
      <c r="TFY3" s="525"/>
      <c r="TFZ3" s="525"/>
      <c r="TGA3" s="525"/>
      <c r="TGB3" s="525"/>
      <c r="TGC3" s="525"/>
      <c r="TGD3" s="525"/>
      <c r="TGE3" s="525"/>
      <c r="TGF3" s="525"/>
      <c r="TGG3" s="525"/>
      <c r="TGH3" s="525"/>
      <c r="TGI3" s="525"/>
      <c r="TGJ3" s="525"/>
      <c r="TGK3" s="525"/>
      <c r="TGL3" s="525"/>
      <c r="TGM3" s="525"/>
      <c r="TGN3" s="525"/>
      <c r="TGO3" s="525"/>
      <c r="TGP3" s="525"/>
      <c r="TGQ3" s="525"/>
      <c r="TGR3" s="525"/>
      <c r="TGS3" s="525"/>
      <c r="TGT3" s="525"/>
      <c r="TGU3" s="525"/>
      <c r="TGV3" s="525"/>
      <c r="TGW3" s="525"/>
      <c r="TGX3" s="525"/>
      <c r="TGY3" s="525"/>
      <c r="TGZ3" s="525"/>
      <c r="THA3" s="525"/>
      <c r="THB3" s="525"/>
      <c r="THC3" s="525"/>
      <c r="THD3" s="525"/>
      <c r="THE3" s="525"/>
      <c r="THF3" s="525"/>
      <c r="THG3" s="525"/>
      <c r="THH3" s="525"/>
      <c r="THI3" s="525"/>
      <c r="THJ3" s="525"/>
      <c r="THK3" s="525"/>
      <c r="THL3" s="525"/>
      <c r="THM3" s="525"/>
      <c r="THN3" s="525"/>
      <c r="THO3" s="525"/>
      <c r="THP3" s="525"/>
      <c r="THQ3" s="525"/>
      <c r="THR3" s="525"/>
      <c r="THS3" s="525"/>
      <c r="THT3" s="525"/>
      <c r="THU3" s="525"/>
      <c r="THV3" s="525"/>
      <c r="THW3" s="525"/>
      <c r="THX3" s="525"/>
      <c r="THY3" s="525"/>
      <c r="THZ3" s="525"/>
      <c r="TIA3" s="525"/>
      <c r="TIB3" s="525"/>
      <c r="TIC3" s="525"/>
      <c r="TID3" s="525"/>
      <c r="TIE3" s="525"/>
      <c r="TIF3" s="525"/>
      <c r="TIG3" s="525"/>
      <c r="TIH3" s="525"/>
      <c r="TII3" s="525"/>
      <c r="TIJ3" s="525"/>
      <c r="TIK3" s="525"/>
      <c r="TIL3" s="525"/>
      <c r="TIM3" s="525"/>
      <c r="TIN3" s="525"/>
      <c r="TIO3" s="525"/>
      <c r="TIP3" s="525"/>
      <c r="TIQ3" s="525"/>
      <c r="TIR3" s="525"/>
      <c r="TIS3" s="525"/>
      <c r="TIT3" s="525"/>
      <c r="TIU3" s="525"/>
      <c r="TIV3" s="525"/>
      <c r="TIW3" s="525"/>
      <c r="TIX3" s="525"/>
      <c r="TIY3" s="525"/>
      <c r="TIZ3" s="525"/>
      <c r="TJA3" s="525"/>
      <c r="TJB3" s="525"/>
      <c r="TJC3" s="525"/>
      <c r="TJD3" s="525"/>
      <c r="TJE3" s="525"/>
      <c r="TJF3" s="525"/>
      <c r="TJG3" s="525"/>
      <c r="TJH3" s="525"/>
      <c r="TJI3" s="525"/>
      <c r="TJJ3" s="525"/>
      <c r="TJK3" s="525"/>
      <c r="TJL3" s="525"/>
      <c r="TJM3" s="525"/>
      <c r="TJN3" s="525"/>
      <c r="TJO3" s="525"/>
      <c r="TJP3" s="525"/>
      <c r="TJQ3" s="525"/>
      <c r="TJR3" s="525"/>
      <c r="TJS3" s="525"/>
      <c r="TJT3" s="525"/>
      <c r="TJU3" s="525"/>
      <c r="TJV3" s="525"/>
      <c r="TJW3" s="525"/>
      <c r="TJX3" s="525"/>
      <c r="TJY3" s="525"/>
      <c r="TJZ3" s="525"/>
      <c r="TKA3" s="525"/>
      <c r="TKB3" s="525"/>
      <c r="TKC3" s="525"/>
      <c r="TKD3" s="525"/>
      <c r="TKE3" s="525"/>
      <c r="TKF3" s="525"/>
      <c r="TKG3" s="525"/>
      <c r="TKH3" s="525"/>
      <c r="TKI3" s="525"/>
      <c r="TKJ3" s="525"/>
      <c r="TKK3" s="525"/>
      <c r="TKL3" s="525"/>
      <c r="TKM3" s="525"/>
      <c r="TKN3" s="525"/>
      <c r="TKO3" s="525"/>
      <c r="TKP3" s="525"/>
      <c r="TKQ3" s="525"/>
      <c r="TKR3" s="525"/>
      <c r="TKS3" s="525"/>
      <c r="TKT3" s="525"/>
      <c r="TKU3" s="525"/>
      <c r="TKV3" s="525"/>
      <c r="TKW3" s="525"/>
      <c r="TKX3" s="525"/>
      <c r="TKY3" s="525"/>
      <c r="TKZ3" s="525"/>
      <c r="TLA3" s="525"/>
      <c r="TLB3" s="525"/>
      <c r="TLC3" s="525"/>
      <c r="TLD3" s="525"/>
      <c r="TLE3" s="525"/>
      <c r="TLF3" s="525"/>
      <c r="TLG3" s="525"/>
      <c r="TLH3" s="525"/>
      <c r="TLI3" s="525"/>
      <c r="TLJ3" s="525"/>
      <c r="TLK3" s="525"/>
      <c r="TLL3" s="525"/>
      <c r="TLM3" s="525"/>
      <c r="TLN3" s="525"/>
      <c r="TLO3" s="525"/>
      <c r="TLP3" s="525"/>
      <c r="TLQ3" s="525"/>
      <c r="TLR3" s="525"/>
      <c r="TLS3" s="525"/>
      <c r="TLT3" s="525"/>
      <c r="TLU3" s="525"/>
      <c r="TLV3" s="525"/>
      <c r="TLW3" s="525"/>
      <c r="TLX3" s="525"/>
      <c r="TLY3" s="525"/>
      <c r="TLZ3" s="525"/>
      <c r="TMA3" s="525"/>
      <c r="TMB3" s="525"/>
      <c r="TMC3" s="525"/>
      <c r="TMD3" s="525"/>
      <c r="TME3" s="525"/>
      <c r="TMF3" s="525"/>
      <c r="TMG3" s="525"/>
      <c r="TMH3" s="525"/>
      <c r="TMI3" s="525"/>
      <c r="TMJ3" s="525"/>
      <c r="TMK3" s="525"/>
      <c r="TML3" s="525"/>
      <c r="TMM3" s="525"/>
      <c r="TMN3" s="525"/>
      <c r="TMO3" s="525"/>
      <c r="TMP3" s="525"/>
      <c r="TMQ3" s="525"/>
      <c r="TMR3" s="525"/>
      <c r="TMS3" s="525"/>
      <c r="TMT3" s="525"/>
      <c r="TMU3" s="525"/>
      <c r="TMV3" s="525"/>
      <c r="TMW3" s="525"/>
      <c r="TMX3" s="525"/>
      <c r="TMY3" s="525"/>
      <c r="TMZ3" s="525"/>
      <c r="TNA3" s="525"/>
      <c r="TNB3" s="525"/>
      <c r="TNC3" s="525"/>
      <c r="TND3" s="525"/>
      <c r="TNE3" s="525"/>
      <c r="TNF3" s="525"/>
      <c r="TNG3" s="525"/>
      <c r="TNH3" s="525"/>
      <c r="TNI3" s="525"/>
      <c r="TNJ3" s="525"/>
      <c r="TNK3" s="525"/>
      <c r="TNL3" s="525"/>
      <c r="TNM3" s="525"/>
      <c r="TNN3" s="525"/>
      <c r="TNO3" s="525"/>
      <c r="TNP3" s="525"/>
      <c r="TNQ3" s="525"/>
      <c r="TNR3" s="525"/>
      <c r="TNS3" s="525"/>
      <c r="TNT3" s="525"/>
      <c r="TNU3" s="525"/>
      <c r="TNV3" s="525"/>
      <c r="TNW3" s="525"/>
      <c r="TNX3" s="525"/>
      <c r="TNY3" s="525"/>
      <c r="TNZ3" s="525"/>
      <c r="TOA3" s="525"/>
      <c r="TOB3" s="525"/>
      <c r="TOC3" s="525"/>
      <c r="TOD3" s="525"/>
      <c r="TOE3" s="525"/>
      <c r="TOF3" s="525"/>
      <c r="TOG3" s="525"/>
      <c r="TOH3" s="525"/>
      <c r="TOI3" s="525"/>
      <c r="TOJ3" s="525"/>
      <c r="TOK3" s="525"/>
      <c r="TOL3" s="525"/>
      <c r="TOM3" s="525"/>
      <c r="TON3" s="525"/>
      <c r="TOO3" s="525"/>
      <c r="TOP3" s="525"/>
      <c r="TOQ3" s="525"/>
      <c r="TOR3" s="525"/>
      <c r="TOS3" s="525"/>
      <c r="TOT3" s="525"/>
      <c r="TOU3" s="525"/>
      <c r="TOV3" s="525"/>
      <c r="TOW3" s="525"/>
      <c r="TOX3" s="525"/>
      <c r="TOY3" s="525"/>
      <c r="TOZ3" s="525"/>
      <c r="TPA3" s="525"/>
      <c r="TPB3" s="525"/>
      <c r="TPC3" s="525"/>
      <c r="TPD3" s="525"/>
      <c r="TPE3" s="525"/>
      <c r="TPF3" s="525"/>
      <c r="TPG3" s="525"/>
      <c r="TPH3" s="525"/>
      <c r="TPI3" s="525"/>
      <c r="TPJ3" s="525"/>
      <c r="TPK3" s="525"/>
      <c r="TPL3" s="525"/>
      <c r="TPM3" s="525"/>
      <c r="TPN3" s="525"/>
      <c r="TPO3" s="525"/>
      <c r="TPP3" s="525"/>
      <c r="TPQ3" s="525"/>
      <c r="TPR3" s="525"/>
      <c r="TPS3" s="525"/>
      <c r="TPT3" s="525"/>
      <c r="TPU3" s="525"/>
      <c r="TPV3" s="525"/>
      <c r="TPW3" s="525"/>
      <c r="TPX3" s="525"/>
      <c r="TPY3" s="525"/>
      <c r="TPZ3" s="525"/>
      <c r="TQA3" s="525"/>
      <c r="TQB3" s="525"/>
      <c r="TQC3" s="525"/>
      <c r="TQD3" s="525"/>
      <c r="TQE3" s="525"/>
      <c r="TQF3" s="525"/>
      <c r="TQG3" s="525"/>
      <c r="TQH3" s="525"/>
      <c r="TQI3" s="525"/>
      <c r="TQJ3" s="525"/>
      <c r="TQK3" s="525"/>
      <c r="TQL3" s="525"/>
      <c r="TQM3" s="525"/>
      <c r="TQN3" s="525"/>
      <c r="TQO3" s="525"/>
      <c r="TQP3" s="525"/>
      <c r="TQQ3" s="525"/>
      <c r="TQR3" s="525"/>
      <c r="TQS3" s="525"/>
      <c r="TQT3" s="525"/>
      <c r="TQU3" s="525"/>
      <c r="TQV3" s="525"/>
      <c r="TQW3" s="525"/>
      <c r="TQX3" s="525"/>
      <c r="TQY3" s="525"/>
      <c r="TQZ3" s="525"/>
      <c r="TRA3" s="525"/>
      <c r="TRB3" s="525"/>
      <c r="TRC3" s="525"/>
      <c r="TRD3" s="525"/>
      <c r="TRE3" s="525"/>
      <c r="TRF3" s="525"/>
      <c r="TRG3" s="525"/>
      <c r="TRH3" s="525"/>
      <c r="TRI3" s="525"/>
      <c r="TRJ3" s="525"/>
      <c r="TRK3" s="525"/>
      <c r="TRL3" s="525"/>
      <c r="TRM3" s="525"/>
      <c r="TRN3" s="525"/>
      <c r="TRO3" s="525"/>
      <c r="TRP3" s="525"/>
      <c r="TRQ3" s="525"/>
      <c r="TRR3" s="525"/>
      <c r="TRS3" s="525"/>
      <c r="TRT3" s="525"/>
      <c r="TRU3" s="525"/>
      <c r="TRV3" s="525"/>
      <c r="TRW3" s="525"/>
      <c r="TRX3" s="525"/>
      <c r="TRY3" s="525"/>
      <c r="TRZ3" s="525"/>
      <c r="TSA3" s="525"/>
      <c r="TSB3" s="525"/>
      <c r="TSC3" s="525"/>
      <c r="TSD3" s="525"/>
      <c r="TSE3" s="525"/>
      <c r="TSF3" s="525"/>
      <c r="TSG3" s="525"/>
      <c r="TSH3" s="525"/>
      <c r="TSI3" s="525"/>
      <c r="TSJ3" s="525"/>
      <c r="TSK3" s="525"/>
      <c r="TSL3" s="525"/>
      <c r="TSM3" s="525"/>
      <c r="TSN3" s="525"/>
      <c r="TSO3" s="525"/>
      <c r="TSP3" s="525"/>
      <c r="TSQ3" s="525"/>
      <c r="TSR3" s="525"/>
      <c r="TSS3" s="525"/>
      <c r="TST3" s="525"/>
      <c r="TSU3" s="525"/>
      <c r="TSV3" s="525"/>
      <c r="TSW3" s="525"/>
      <c r="TSX3" s="525"/>
      <c r="TSY3" s="525"/>
      <c r="TSZ3" s="525"/>
      <c r="TTA3" s="525"/>
      <c r="TTB3" s="525"/>
      <c r="TTC3" s="525"/>
      <c r="TTD3" s="525"/>
      <c r="TTE3" s="525"/>
      <c r="TTF3" s="525"/>
      <c r="TTG3" s="525"/>
      <c r="TTH3" s="525"/>
      <c r="TTI3" s="525"/>
      <c r="TTJ3" s="525"/>
      <c r="TTK3" s="525"/>
      <c r="TTL3" s="525"/>
      <c r="TTM3" s="525"/>
      <c r="TTN3" s="525"/>
      <c r="TTO3" s="525"/>
      <c r="TTP3" s="525"/>
      <c r="TTQ3" s="525"/>
      <c r="TTR3" s="525"/>
      <c r="TTS3" s="525"/>
      <c r="TTT3" s="525"/>
      <c r="TTU3" s="525"/>
      <c r="TTV3" s="525"/>
      <c r="TTW3" s="525"/>
      <c r="TTX3" s="525"/>
      <c r="TTY3" s="525"/>
      <c r="TTZ3" s="525"/>
      <c r="TUA3" s="525"/>
      <c r="TUB3" s="525"/>
      <c r="TUC3" s="525"/>
      <c r="TUD3" s="525"/>
      <c r="TUE3" s="525"/>
      <c r="TUF3" s="525"/>
      <c r="TUG3" s="525"/>
      <c r="TUH3" s="525"/>
      <c r="TUI3" s="525"/>
      <c r="TUJ3" s="525"/>
      <c r="TUK3" s="525"/>
      <c r="TUL3" s="525"/>
      <c r="TUM3" s="525"/>
      <c r="TUN3" s="525"/>
      <c r="TUO3" s="525"/>
      <c r="TUP3" s="525"/>
      <c r="TUQ3" s="525"/>
      <c r="TUR3" s="525"/>
      <c r="TUS3" s="525"/>
      <c r="TUT3" s="525"/>
      <c r="TUU3" s="525"/>
      <c r="TUV3" s="525"/>
      <c r="TUW3" s="525"/>
      <c r="TUX3" s="525"/>
      <c r="TUY3" s="525"/>
      <c r="TUZ3" s="525"/>
      <c r="TVA3" s="525"/>
      <c r="TVB3" s="525"/>
      <c r="TVC3" s="525"/>
      <c r="TVD3" s="525"/>
      <c r="TVE3" s="525"/>
      <c r="TVF3" s="525"/>
      <c r="TVG3" s="525"/>
      <c r="TVH3" s="525"/>
      <c r="TVI3" s="525"/>
      <c r="TVJ3" s="525"/>
      <c r="TVK3" s="525"/>
      <c r="TVL3" s="525"/>
      <c r="TVM3" s="525"/>
      <c r="TVN3" s="525"/>
      <c r="TVO3" s="525"/>
      <c r="TVP3" s="525"/>
      <c r="TVQ3" s="525"/>
      <c r="TVR3" s="525"/>
      <c r="TVS3" s="525"/>
      <c r="TVT3" s="525"/>
      <c r="TVU3" s="525"/>
      <c r="TVV3" s="525"/>
      <c r="TVW3" s="525"/>
      <c r="TVX3" s="525"/>
      <c r="TVY3" s="525"/>
      <c r="TVZ3" s="525"/>
      <c r="TWA3" s="525"/>
      <c r="TWB3" s="525"/>
      <c r="TWC3" s="525"/>
      <c r="TWD3" s="525"/>
      <c r="TWE3" s="525"/>
      <c r="TWF3" s="525"/>
      <c r="TWG3" s="525"/>
      <c r="TWH3" s="525"/>
      <c r="TWI3" s="525"/>
      <c r="TWJ3" s="525"/>
      <c r="TWK3" s="525"/>
      <c r="TWL3" s="525"/>
      <c r="TWM3" s="525"/>
      <c r="TWN3" s="525"/>
      <c r="TWO3" s="525"/>
      <c r="TWP3" s="525"/>
      <c r="TWQ3" s="525"/>
      <c r="TWR3" s="525"/>
      <c r="TWS3" s="525"/>
      <c r="TWT3" s="525"/>
      <c r="TWU3" s="525"/>
      <c r="TWV3" s="525"/>
      <c r="TWW3" s="525"/>
      <c r="TWX3" s="525"/>
      <c r="TWY3" s="525"/>
      <c r="TWZ3" s="525"/>
      <c r="TXA3" s="525"/>
      <c r="TXB3" s="525"/>
      <c r="TXC3" s="525"/>
      <c r="TXD3" s="525"/>
      <c r="TXE3" s="525"/>
      <c r="TXF3" s="525"/>
      <c r="TXG3" s="525"/>
      <c r="TXH3" s="525"/>
      <c r="TXI3" s="525"/>
      <c r="TXJ3" s="525"/>
      <c r="TXK3" s="525"/>
      <c r="TXL3" s="525"/>
      <c r="TXM3" s="525"/>
      <c r="TXN3" s="525"/>
      <c r="TXO3" s="525"/>
      <c r="TXP3" s="525"/>
      <c r="TXQ3" s="525"/>
      <c r="TXR3" s="525"/>
      <c r="TXS3" s="525"/>
      <c r="TXT3" s="525"/>
      <c r="TXU3" s="525"/>
      <c r="TXV3" s="525"/>
      <c r="TXW3" s="525"/>
      <c r="TXX3" s="525"/>
      <c r="TXY3" s="525"/>
      <c r="TXZ3" s="525"/>
      <c r="TYA3" s="525"/>
      <c r="TYB3" s="525"/>
      <c r="TYC3" s="525"/>
      <c r="TYD3" s="525"/>
      <c r="TYE3" s="525"/>
      <c r="TYF3" s="525"/>
      <c r="TYG3" s="525"/>
      <c r="TYH3" s="525"/>
      <c r="TYI3" s="525"/>
      <c r="TYJ3" s="525"/>
      <c r="TYK3" s="525"/>
      <c r="TYL3" s="525"/>
      <c r="TYM3" s="525"/>
      <c r="TYN3" s="525"/>
      <c r="TYO3" s="525"/>
      <c r="TYP3" s="525"/>
      <c r="TYQ3" s="525"/>
      <c r="TYR3" s="525"/>
      <c r="TYS3" s="525"/>
      <c r="TYT3" s="525"/>
      <c r="TYU3" s="525"/>
      <c r="TYV3" s="525"/>
      <c r="TYW3" s="525"/>
      <c r="TYX3" s="525"/>
      <c r="TYY3" s="525"/>
      <c r="TYZ3" s="525"/>
      <c r="TZA3" s="525"/>
      <c r="TZB3" s="525"/>
      <c r="TZC3" s="525"/>
      <c r="TZD3" s="525"/>
      <c r="TZE3" s="525"/>
      <c r="TZF3" s="525"/>
      <c r="TZG3" s="525"/>
      <c r="TZH3" s="525"/>
      <c r="TZI3" s="525"/>
      <c r="TZJ3" s="525"/>
      <c r="TZK3" s="525"/>
      <c r="TZL3" s="525"/>
      <c r="TZM3" s="525"/>
      <c r="TZN3" s="525"/>
      <c r="TZO3" s="525"/>
      <c r="TZP3" s="525"/>
      <c r="TZQ3" s="525"/>
      <c r="TZR3" s="525"/>
      <c r="TZS3" s="525"/>
      <c r="TZT3" s="525"/>
      <c r="TZU3" s="525"/>
      <c r="TZV3" s="525"/>
      <c r="TZW3" s="525"/>
      <c r="TZX3" s="525"/>
      <c r="TZY3" s="525"/>
      <c r="TZZ3" s="525"/>
      <c r="UAA3" s="525"/>
      <c r="UAB3" s="525"/>
      <c r="UAC3" s="525"/>
      <c r="UAD3" s="525"/>
      <c r="UAE3" s="525"/>
      <c r="UAF3" s="525"/>
      <c r="UAG3" s="525"/>
      <c r="UAH3" s="525"/>
      <c r="UAI3" s="525"/>
      <c r="UAJ3" s="525"/>
      <c r="UAK3" s="525"/>
      <c r="UAL3" s="525"/>
      <c r="UAM3" s="525"/>
      <c r="UAN3" s="525"/>
      <c r="UAO3" s="525"/>
      <c r="UAP3" s="525"/>
      <c r="UAQ3" s="525"/>
      <c r="UAR3" s="525"/>
      <c r="UAS3" s="525"/>
      <c r="UAT3" s="525"/>
      <c r="UAU3" s="525"/>
      <c r="UAV3" s="525"/>
      <c r="UAW3" s="525"/>
      <c r="UAX3" s="525"/>
      <c r="UAY3" s="525"/>
      <c r="UAZ3" s="525"/>
      <c r="UBA3" s="525"/>
      <c r="UBB3" s="525"/>
      <c r="UBC3" s="525"/>
      <c r="UBD3" s="525"/>
      <c r="UBE3" s="525"/>
      <c r="UBF3" s="525"/>
      <c r="UBG3" s="525"/>
      <c r="UBH3" s="525"/>
      <c r="UBI3" s="525"/>
      <c r="UBJ3" s="525"/>
      <c r="UBK3" s="525"/>
      <c r="UBL3" s="525"/>
      <c r="UBM3" s="525"/>
      <c r="UBN3" s="525"/>
      <c r="UBO3" s="525"/>
      <c r="UBP3" s="525"/>
      <c r="UBQ3" s="525"/>
      <c r="UBR3" s="525"/>
      <c r="UBS3" s="525"/>
      <c r="UBT3" s="525"/>
      <c r="UBU3" s="525"/>
      <c r="UBV3" s="525"/>
      <c r="UBW3" s="525"/>
      <c r="UBX3" s="525"/>
      <c r="UBY3" s="525"/>
      <c r="UBZ3" s="525"/>
      <c r="UCA3" s="525"/>
      <c r="UCB3" s="525"/>
      <c r="UCC3" s="525"/>
      <c r="UCD3" s="525"/>
      <c r="UCE3" s="525"/>
      <c r="UCF3" s="525"/>
      <c r="UCG3" s="525"/>
      <c r="UCH3" s="525"/>
      <c r="UCI3" s="525"/>
      <c r="UCJ3" s="525"/>
      <c r="UCK3" s="525"/>
      <c r="UCL3" s="525"/>
      <c r="UCM3" s="525"/>
      <c r="UCN3" s="525"/>
      <c r="UCO3" s="525"/>
      <c r="UCP3" s="525"/>
      <c r="UCQ3" s="525"/>
      <c r="UCR3" s="525"/>
      <c r="UCS3" s="525"/>
      <c r="UCT3" s="525"/>
      <c r="UCU3" s="525"/>
      <c r="UCV3" s="525"/>
      <c r="UCW3" s="525"/>
      <c r="UCX3" s="525"/>
      <c r="UCY3" s="525"/>
      <c r="UCZ3" s="525"/>
      <c r="UDA3" s="525"/>
      <c r="UDB3" s="525"/>
      <c r="UDC3" s="525"/>
      <c r="UDD3" s="525"/>
      <c r="UDE3" s="525"/>
      <c r="UDF3" s="525"/>
      <c r="UDG3" s="525"/>
      <c r="UDH3" s="525"/>
      <c r="UDI3" s="525"/>
      <c r="UDJ3" s="525"/>
      <c r="UDK3" s="525"/>
      <c r="UDL3" s="525"/>
      <c r="UDM3" s="525"/>
      <c r="UDN3" s="525"/>
      <c r="UDO3" s="525"/>
      <c r="UDP3" s="525"/>
      <c r="UDQ3" s="525"/>
      <c r="UDR3" s="525"/>
      <c r="UDS3" s="525"/>
      <c r="UDT3" s="525"/>
      <c r="UDU3" s="525"/>
      <c r="UDV3" s="525"/>
      <c r="UDW3" s="525"/>
      <c r="UDX3" s="525"/>
      <c r="UDY3" s="525"/>
      <c r="UDZ3" s="525"/>
      <c r="UEA3" s="525"/>
      <c r="UEB3" s="525"/>
      <c r="UEC3" s="525"/>
      <c r="UED3" s="525"/>
      <c r="UEE3" s="525"/>
      <c r="UEF3" s="525"/>
      <c r="UEG3" s="525"/>
      <c r="UEH3" s="525"/>
      <c r="UEI3" s="525"/>
      <c r="UEJ3" s="525"/>
      <c r="UEK3" s="525"/>
      <c r="UEL3" s="525"/>
      <c r="UEM3" s="525"/>
      <c r="UEN3" s="525"/>
      <c r="UEO3" s="525"/>
      <c r="UEP3" s="525"/>
      <c r="UEQ3" s="525"/>
      <c r="UER3" s="525"/>
      <c r="UES3" s="525"/>
      <c r="UET3" s="525"/>
      <c r="UEU3" s="525"/>
      <c r="UEV3" s="525"/>
      <c r="UEW3" s="525"/>
      <c r="UEX3" s="525"/>
      <c r="UEY3" s="525"/>
      <c r="UEZ3" s="525"/>
      <c r="UFA3" s="525"/>
      <c r="UFB3" s="525"/>
      <c r="UFC3" s="525"/>
      <c r="UFD3" s="525"/>
      <c r="UFE3" s="525"/>
      <c r="UFF3" s="525"/>
      <c r="UFG3" s="525"/>
      <c r="UFH3" s="525"/>
      <c r="UFI3" s="525"/>
      <c r="UFJ3" s="525"/>
      <c r="UFK3" s="525"/>
      <c r="UFL3" s="525"/>
      <c r="UFM3" s="525"/>
      <c r="UFN3" s="525"/>
      <c r="UFO3" s="525"/>
      <c r="UFP3" s="525"/>
      <c r="UFQ3" s="525"/>
      <c r="UFR3" s="525"/>
      <c r="UFS3" s="525"/>
      <c r="UFT3" s="525"/>
      <c r="UFU3" s="525"/>
      <c r="UFV3" s="525"/>
      <c r="UFW3" s="525"/>
      <c r="UFX3" s="525"/>
      <c r="UFY3" s="525"/>
      <c r="UFZ3" s="525"/>
      <c r="UGA3" s="525"/>
      <c r="UGB3" s="525"/>
      <c r="UGC3" s="525"/>
      <c r="UGD3" s="525"/>
      <c r="UGE3" s="525"/>
      <c r="UGF3" s="525"/>
      <c r="UGG3" s="525"/>
      <c r="UGH3" s="525"/>
      <c r="UGI3" s="525"/>
      <c r="UGJ3" s="525"/>
      <c r="UGK3" s="525"/>
      <c r="UGL3" s="525"/>
      <c r="UGM3" s="525"/>
      <c r="UGN3" s="525"/>
      <c r="UGO3" s="525"/>
      <c r="UGP3" s="525"/>
      <c r="UGQ3" s="525"/>
      <c r="UGR3" s="525"/>
      <c r="UGS3" s="525"/>
      <c r="UGT3" s="525"/>
      <c r="UGU3" s="525"/>
      <c r="UGV3" s="525"/>
      <c r="UGW3" s="525"/>
      <c r="UGX3" s="525"/>
      <c r="UGY3" s="525"/>
      <c r="UGZ3" s="525"/>
      <c r="UHA3" s="525"/>
      <c r="UHB3" s="525"/>
      <c r="UHC3" s="525"/>
      <c r="UHD3" s="525"/>
      <c r="UHE3" s="525"/>
      <c r="UHF3" s="525"/>
      <c r="UHG3" s="525"/>
      <c r="UHH3" s="525"/>
      <c r="UHI3" s="525"/>
      <c r="UHJ3" s="525"/>
      <c r="UHK3" s="525"/>
      <c r="UHL3" s="525"/>
      <c r="UHM3" s="525"/>
      <c r="UHN3" s="525"/>
      <c r="UHO3" s="525"/>
      <c r="UHP3" s="525"/>
      <c r="UHQ3" s="525"/>
      <c r="UHR3" s="525"/>
      <c r="UHS3" s="525"/>
      <c r="UHT3" s="525"/>
      <c r="UHU3" s="525"/>
      <c r="UHV3" s="525"/>
      <c r="UHW3" s="525"/>
      <c r="UHX3" s="525"/>
      <c r="UHY3" s="525"/>
      <c r="UHZ3" s="525"/>
      <c r="UIA3" s="525"/>
      <c r="UIB3" s="525"/>
      <c r="UIC3" s="525"/>
      <c r="UID3" s="525"/>
      <c r="UIE3" s="525"/>
      <c r="UIF3" s="525"/>
      <c r="UIG3" s="525"/>
      <c r="UIH3" s="525"/>
      <c r="UII3" s="525"/>
      <c r="UIJ3" s="525"/>
      <c r="UIK3" s="525"/>
      <c r="UIL3" s="525"/>
      <c r="UIM3" s="525"/>
      <c r="UIN3" s="525"/>
      <c r="UIO3" s="525"/>
      <c r="UIP3" s="525"/>
      <c r="UIQ3" s="525"/>
      <c r="UIR3" s="525"/>
      <c r="UIS3" s="525"/>
      <c r="UIT3" s="525"/>
      <c r="UIU3" s="525"/>
      <c r="UIV3" s="525"/>
      <c r="UIW3" s="525"/>
      <c r="UIX3" s="525"/>
      <c r="UIY3" s="525"/>
      <c r="UIZ3" s="525"/>
      <c r="UJA3" s="525"/>
      <c r="UJB3" s="525"/>
      <c r="UJC3" s="525"/>
      <c r="UJD3" s="525"/>
      <c r="UJE3" s="525"/>
      <c r="UJF3" s="525"/>
      <c r="UJG3" s="525"/>
      <c r="UJH3" s="525"/>
      <c r="UJI3" s="525"/>
      <c r="UJJ3" s="525"/>
      <c r="UJK3" s="525"/>
      <c r="UJL3" s="525"/>
      <c r="UJM3" s="525"/>
      <c r="UJN3" s="525"/>
      <c r="UJO3" s="525"/>
      <c r="UJP3" s="525"/>
      <c r="UJQ3" s="525"/>
      <c r="UJR3" s="525"/>
      <c r="UJS3" s="525"/>
      <c r="UJT3" s="525"/>
      <c r="UJU3" s="525"/>
      <c r="UJV3" s="525"/>
      <c r="UJW3" s="525"/>
      <c r="UJX3" s="525"/>
      <c r="UJY3" s="525"/>
      <c r="UJZ3" s="525"/>
      <c r="UKA3" s="525"/>
      <c r="UKB3" s="525"/>
      <c r="UKC3" s="525"/>
      <c r="UKD3" s="525"/>
      <c r="UKE3" s="525"/>
      <c r="UKF3" s="525"/>
      <c r="UKG3" s="525"/>
      <c r="UKH3" s="525"/>
      <c r="UKI3" s="525"/>
      <c r="UKJ3" s="525"/>
      <c r="UKK3" s="525"/>
      <c r="UKL3" s="525"/>
      <c r="UKM3" s="525"/>
      <c r="UKN3" s="525"/>
      <c r="UKO3" s="525"/>
      <c r="UKP3" s="525"/>
      <c r="UKQ3" s="525"/>
      <c r="UKR3" s="525"/>
      <c r="UKS3" s="525"/>
      <c r="UKT3" s="525"/>
      <c r="UKU3" s="525"/>
      <c r="UKV3" s="525"/>
      <c r="UKW3" s="525"/>
      <c r="UKX3" s="525"/>
      <c r="UKY3" s="525"/>
      <c r="UKZ3" s="525"/>
      <c r="ULA3" s="525"/>
      <c r="ULB3" s="525"/>
      <c r="ULC3" s="525"/>
      <c r="ULD3" s="525"/>
      <c r="ULE3" s="525"/>
      <c r="ULF3" s="525"/>
      <c r="ULG3" s="525"/>
      <c r="ULH3" s="525"/>
      <c r="ULI3" s="525"/>
      <c r="ULJ3" s="525"/>
      <c r="ULK3" s="525"/>
      <c r="ULL3" s="525"/>
      <c r="ULM3" s="525"/>
      <c r="ULN3" s="525"/>
      <c r="ULO3" s="525"/>
      <c r="ULP3" s="525"/>
      <c r="ULQ3" s="525"/>
      <c r="ULR3" s="525"/>
      <c r="ULS3" s="525"/>
      <c r="ULT3" s="525"/>
      <c r="ULU3" s="525"/>
      <c r="ULV3" s="525"/>
      <c r="ULW3" s="525"/>
      <c r="ULX3" s="525"/>
      <c r="ULY3" s="525"/>
      <c r="ULZ3" s="525"/>
      <c r="UMA3" s="525"/>
      <c r="UMB3" s="525"/>
      <c r="UMC3" s="525"/>
      <c r="UMD3" s="525"/>
      <c r="UME3" s="525"/>
      <c r="UMF3" s="525"/>
      <c r="UMG3" s="525"/>
      <c r="UMH3" s="525"/>
      <c r="UMI3" s="525"/>
      <c r="UMJ3" s="525"/>
      <c r="UMK3" s="525"/>
      <c r="UML3" s="525"/>
      <c r="UMM3" s="525"/>
      <c r="UMN3" s="525"/>
      <c r="UMO3" s="525"/>
      <c r="UMP3" s="525"/>
      <c r="UMQ3" s="525"/>
      <c r="UMR3" s="525"/>
      <c r="UMS3" s="525"/>
      <c r="UMT3" s="525"/>
      <c r="UMU3" s="525"/>
      <c r="UMV3" s="525"/>
      <c r="UMW3" s="525"/>
      <c r="UMX3" s="525"/>
      <c r="UMY3" s="525"/>
      <c r="UMZ3" s="525"/>
      <c r="UNA3" s="525"/>
      <c r="UNB3" s="525"/>
      <c r="UNC3" s="525"/>
      <c r="UND3" s="525"/>
      <c r="UNE3" s="525"/>
      <c r="UNF3" s="525"/>
      <c r="UNG3" s="525"/>
      <c r="UNH3" s="525"/>
      <c r="UNI3" s="525"/>
      <c r="UNJ3" s="525"/>
      <c r="UNK3" s="525"/>
      <c r="UNL3" s="525"/>
      <c r="UNM3" s="525"/>
      <c r="UNN3" s="525"/>
      <c r="UNO3" s="525"/>
      <c r="UNP3" s="525"/>
      <c r="UNQ3" s="525"/>
      <c r="UNR3" s="525"/>
      <c r="UNS3" s="525"/>
      <c r="UNT3" s="525"/>
      <c r="UNU3" s="525"/>
      <c r="UNV3" s="525"/>
      <c r="UNW3" s="525"/>
      <c r="UNX3" s="525"/>
      <c r="UNY3" s="525"/>
      <c r="UNZ3" s="525"/>
      <c r="UOA3" s="525"/>
      <c r="UOB3" s="525"/>
      <c r="UOC3" s="525"/>
      <c r="UOD3" s="525"/>
      <c r="UOE3" s="525"/>
      <c r="UOF3" s="525"/>
      <c r="UOG3" s="525"/>
      <c r="UOH3" s="525"/>
      <c r="UOI3" s="525"/>
      <c r="UOJ3" s="525"/>
      <c r="UOK3" s="525"/>
      <c r="UOL3" s="525"/>
      <c r="UOM3" s="525"/>
      <c r="UON3" s="525"/>
      <c r="UOO3" s="525"/>
      <c r="UOP3" s="525"/>
      <c r="UOQ3" s="525"/>
      <c r="UOR3" s="525"/>
      <c r="UOS3" s="525"/>
      <c r="UOT3" s="525"/>
      <c r="UOU3" s="525"/>
      <c r="UOV3" s="525"/>
      <c r="UOW3" s="525"/>
      <c r="UOX3" s="525"/>
      <c r="UOY3" s="525"/>
      <c r="UOZ3" s="525"/>
      <c r="UPA3" s="525"/>
      <c r="UPB3" s="525"/>
      <c r="UPC3" s="525"/>
      <c r="UPD3" s="525"/>
      <c r="UPE3" s="525"/>
      <c r="UPF3" s="525"/>
      <c r="UPG3" s="525"/>
      <c r="UPH3" s="525"/>
      <c r="UPI3" s="525"/>
      <c r="UPJ3" s="525"/>
      <c r="UPK3" s="525"/>
      <c r="UPL3" s="525"/>
      <c r="UPM3" s="525"/>
      <c r="UPN3" s="525"/>
      <c r="UPO3" s="525"/>
      <c r="UPP3" s="525"/>
      <c r="UPQ3" s="525"/>
      <c r="UPR3" s="525"/>
      <c r="UPS3" s="525"/>
      <c r="UPT3" s="525"/>
      <c r="UPU3" s="525"/>
      <c r="UPV3" s="525"/>
      <c r="UPW3" s="525"/>
      <c r="UPX3" s="525"/>
      <c r="UPY3" s="525"/>
      <c r="UPZ3" s="525"/>
      <c r="UQA3" s="525"/>
      <c r="UQB3" s="525"/>
      <c r="UQC3" s="525"/>
      <c r="UQD3" s="525"/>
      <c r="UQE3" s="525"/>
      <c r="UQF3" s="525"/>
      <c r="UQG3" s="525"/>
      <c r="UQH3" s="525"/>
      <c r="UQI3" s="525"/>
      <c r="UQJ3" s="525"/>
      <c r="UQK3" s="525"/>
      <c r="UQL3" s="525"/>
      <c r="UQM3" s="525"/>
      <c r="UQN3" s="525"/>
      <c r="UQO3" s="525"/>
      <c r="UQP3" s="525"/>
      <c r="UQQ3" s="525"/>
      <c r="UQR3" s="525"/>
      <c r="UQS3" s="525"/>
      <c r="UQT3" s="525"/>
      <c r="UQU3" s="525"/>
      <c r="UQV3" s="525"/>
      <c r="UQW3" s="525"/>
      <c r="UQX3" s="525"/>
      <c r="UQY3" s="525"/>
      <c r="UQZ3" s="525"/>
      <c r="URA3" s="525"/>
      <c r="URB3" s="525"/>
      <c r="URC3" s="525"/>
      <c r="URD3" s="525"/>
      <c r="URE3" s="525"/>
      <c r="URF3" s="525"/>
      <c r="URG3" s="525"/>
      <c r="URH3" s="525"/>
      <c r="URI3" s="525"/>
      <c r="URJ3" s="525"/>
      <c r="URK3" s="525"/>
      <c r="URL3" s="525"/>
      <c r="URM3" s="525"/>
      <c r="URN3" s="525"/>
      <c r="URO3" s="525"/>
      <c r="URP3" s="525"/>
      <c r="URQ3" s="525"/>
      <c r="URR3" s="525"/>
      <c r="URS3" s="525"/>
      <c r="URT3" s="525"/>
      <c r="URU3" s="525"/>
      <c r="URV3" s="525"/>
      <c r="URW3" s="525"/>
      <c r="URX3" s="525"/>
      <c r="URY3" s="525"/>
      <c r="URZ3" s="525"/>
      <c r="USA3" s="525"/>
      <c r="USB3" s="525"/>
      <c r="USC3" s="525"/>
      <c r="USD3" s="525"/>
      <c r="USE3" s="525"/>
      <c r="USF3" s="525"/>
      <c r="USG3" s="525"/>
      <c r="USH3" s="525"/>
      <c r="USI3" s="525"/>
      <c r="USJ3" s="525"/>
      <c r="USK3" s="525"/>
      <c r="USL3" s="525"/>
      <c r="USM3" s="525"/>
      <c r="USN3" s="525"/>
      <c r="USO3" s="525"/>
      <c r="USP3" s="525"/>
      <c r="USQ3" s="525"/>
      <c r="USR3" s="525"/>
      <c r="USS3" s="525"/>
      <c r="UST3" s="525"/>
      <c r="USU3" s="525"/>
      <c r="USV3" s="525"/>
      <c r="USW3" s="525"/>
      <c r="USX3" s="525"/>
      <c r="USY3" s="525"/>
      <c r="USZ3" s="525"/>
      <c r="UTA3" s="525"/>
      <c r="UTB3" s="525"/>
      <c r="UTC3" s="525"/>
      <c r="UTD3" s="525"/>
      <c r="UTE3" s="525"/>
      <c r="UTF3" s="525"/>
      <c r="UTG3" s="525"/>
      <c r="UTH3" s="525"/>
      <c r="UTI3" s="525"/>
      <c r="UTJ3" s="525"/>
      <c r="UTK3" s="525"/>
      <c r="UTL3" s="525"/>
      <c r="UTM3" s="525"/>
      <c r="UTN3" s="525"/>
      <c r="UTO3" s="525"/>
      <c r="UTP3" s="525"/>
      <c r="UTQ3" s="525"/>
      <c r="UTR3" s="525"/>
      <c r="UTS3" s="525"/>
      <c r="UTT3" s="525"/>
      <c r="UTU3" s="525"/>
      <c r="UTV3" s="525"/>
      <c r="UTW3" s="525"/>
      <c r="UTX3" s="525"/>
      <c r="UTY3" s="525"/>
      <c r="UTZ3" s="525"/>
      <c r="UUA3" s="525"/>
      <c r="UUB3" s="525"/>
      <c r="UUC3" s="525"/>
      <c r="UUD3" s="525"/>
      <c r="UUE3" s="525"/>
      <c r="UUF3" s="525"/>
      <c r="UUG3" s="525"/>
      <c r="UUH3" s="525"/>
      <c r="UUI3" s="525"/>
      <c r="UUJ3" s="525"/>
      <c r="UUK3" s="525"/>
      <c r="UUL3" s="525"/>
      <c r="UUM3" s="525"/>
      <c r="UUN3" s="525"/>
      <c r="UUO3" s="525"/>
      <c r="UUP3" s="525"/>
      <c r="UUQ3" s="525"/>
      <c r="UUR3" s="525"/>
      <c r="UUS3" s="525"/>
      <c r="UUT3" s="525"/>
      <c r="UUU3" s="525"/>
      <c r="UUV3" s="525"/>
      <c r="UUW3" s="525"/>
      <c r="UUX3" s="525"/>
      <c r="UUY3" s="525"/>
      <c r="UUZ3" s="525"/>
      <c r="UVA3" s="525"/>
      <c r="UVB3" s="525"/>
      <c r="UVC3" s="525"/>
      <c r="UVD3" s="525"/>
      <c r="UVE3" s="525"/>
      <c r="UVF3" s="525"/>
      <c r="UVG3" s="525"/>
      <c r="UVH3" s="525"/>
      <c r="UVI3" s="525"/>
      <c r="UVJ3" s="525"/>
      <c r="UVK3" s="525"/>
      <c r="UVL3" s="525"/>
      <c r="UVM3" s="525"/>
      <c r="UVN3" s="525"/>
      <c r="UVO3" s="525"/>
      <c r="UVP3" s="525"/>
      <c r="UVQ3" s="525"/>
      <c r="UVR3" s="525"/>
      <c r="UVS3" s="525"/>
      <c r="UVT3" s="525"/>
      <c r="UVU3" s="525"/>
      <c r="UVV3" s="525"/>
      <c r="UVW3" s="525"/>
      <c r="UVX3" s="525"/>
      <c r="UVY3" s="525"/>
      <c r="UVZ3" s="525"/>
      <c r="UWA3" s="525"/>
      <c r="UWB3" s="525"/>
      <c r="UWC3" s="525"/>
      <c r="UWD3" s="525"/>
      <c r="UWE3" s="525"/>
      <c r="UWF3" s="525"/>
      <c r="UWG3" s="525"/>
      <c r="UWH3" s="525"/>
      <c r="UWI3" s="525"/>
      <c r="UWJ3" s="525"/>
      <c r="UWK3" s="525"/>
      <c r="UWL3" s="525"/>
      <c r="UWM3" s="525"/>
      <c r="UWN3" s="525"/>
      <c r="UWO3" s="525"/>
      <c r="UWP3" s="525"/>
      <c r="UWQ3" s="525"/>
      <c r="UWR3" s="525"/>
      <c r="UWS3" s="525"/>
      <c r="UWT3" s="525"/>
      <c r="UWU3" s="525"/>
      <c r="UWV3" s="525"/>
      <c r="UWW3" s="525"/>
      <c r="UWX3" s="525"/>
      <c r="UWY3" s="525"/>
      <c r="UWZ3" s="525"/>
      <c r="UXA3" s="525"/>
      <c r="UXB3" s="525"/>
      <c r="UXC3" s="525"/>
      <c r="UXD3" s="525"/>
      <c r="UXE3" s="525"/>
      <c r="UXF3" s="525"/>
      <c r="UXG3" s="525"/>
      <c r="UXH3" s="525"/>
      <c r="UXI3" s="525"/>
      <c r="UXJ3" s="525"/>
      <c r="UXK3" s="525"/>
      <c r="UXL3" s="525"/>
      <c r="UXM3" s="525"/>
      <c r="UXN3" s="525"/>
      <c r="UXO3" s="525"/>
      <c r="UXP3" s="525"/>
      <c r="UXQ3" s="525"/>
      <c r="UXR3" s="525"/>
      <c r="UXS3" s="525"/>
      <c r="UXT3" s="525"/>
      <c r="UXU3" s="525"/>
      <c r="UXV3" s="525"/>
      <c r="UXW3" s="525"/>
      <c r="UXX3" s="525"/>
      <c r="UXY3" s="525"/>
      <c r="UXZ3" s="525"/>
      <c r="UYA3" s="525"/>
      <c r="UYB3" s="525"/>
      <c r="UYC3" s="525"/>
      <c r="UYD3" s="525"/>
      <c r="UYE3" s="525"/>
      <c r="UYF3" s="525"/>
      <c r="UYG3" s="525"/>
      <c r="UYH3" s="525"/>
      <c r="UYI3" s="525"/>
      <c r="UYJ3" s="525"/>
      <c r="UYK3" s="525"/>
      <c r="UYL3" s="525"/>
      <c r="UYM3" s="525"/>
      <c r="UYN3" s="525"/>
      <c r="UYO3" s="525"/>
      <c r="UYP3" s="525"/>
      <c r="UYQ3" s="525"/>
      <c r="UYR3" s="525"/>
      <c r="UYS3" s="525"/>
      <c r="UYT3" s="525"/>
      <c r="UYU3" s="525"/>
      <c r="UYV3" s="525"/>
      <c r="UYW3" s="525"/>
      <c r="UYX3" s="525"/>
      <c r="UYY3" s="525"/>
      <c r="UYZ3" s="525"/>
      <c r="UZA3" s="525"/>
      <c r="UZB3" s="525"/>
      <c r="UZC3" s="525"/>
      <c r="UZD3" s="525"/>
      <c r="UZE3" s="525"/>
      <c r="UZF3" s="525"/>
      <c r="UZG3" s="525"/>
      <c r="UZH3" s="525"/>
      <c r="UZI3" s="525"/>
      <c r="UZJ3" s="525"/>
      <c r="UZK3" s="525"/>
      <c r="UZL3" s="525"/>
      <c r="UZM3" s="525"/>
      <c r="UZN3" s="525"/>
      <c r="UZO3" s="525"/>
      <c r="UZP3" s="525"/>
      <c r="UZQ3" s="525"/>
      <c r="UZR3" s="525"/>
      <c r="UZS3" s="525"/>
      <c r="UZT3" s="525"/>
      <c r="UZU3" s="525"/>
      <c r="UZV3" s="525"/>
      <c r="UZW3" s="525"/>
      <c r="UZX3" s="525"/>
      <c r="UZY3" s="525"/>
      <c r="UZZ3" s="525"/>
      <c r="VAA3" s="525"/>
      <c r="VAB3" s="525"/>
      <c r="VAC3" s="525"/>
      <c r="VAD3" s="525"/>
      <c r="VAE3" s="525"/>
      <c r="VAF3" s="525"/>
      <c r="VAG3" s="525"/>
      <c r="VAH3" s="525"/>
      <c r="VAI3" s="525"/>
      <c r="VAJ3" s="525"/>
      <c r="VAK3" s="525"/>
      <c r="VAL3" s="525"/>
      <c r="VAM3" s="525"/>
      <c r="VAN3" s="525"/>
      <c r="VAO3" s="525"/>
      <c r="VAP3" s="525"/>
      <c r="VAQ3" s="525"/>
      <c r="VAR3" s="525"/>
      <c r="VAS3" s="525"/>
      <c r="VAT3" s="525"/>
      <c r="VAU3" s="525"/>
      <c r="VAV3" s="525"/>
      <c r="VAW3" s="525"/>
      <c r="VAX3" s="525"/>
      <c r="VAY3" s="525"/>
      <c r="VAZ3" s="525"/>
      <c r="VBA3" s="525"/>
      <c r="VBB3" s="525"/>
      <c r="VBC3" s="525"/>
      <c r="VBD3" s="525"/>
      <c r="VBE3" s="525"/>
      <c r="VBF3" s="525"/>
      <c r="VBG3" s="525"/>
      <c r="VBH3" s="525"/>
      <c r="VBI3" s="525"/>
      <c r="VBJ3" s="525"/>
      <c r="VBK3" s="525"/>
      <c r="VBL3" s="525"/>
      <c r="VBM3" s="525"/>
      <c r="VBN3" s="525"/>
      <c r="VBO3" s="525"/>
      <c r="VBP3" s="525"/>
      <c r="VBQ3" s="525"/>
      <c r="VBR3" s="525"/>
      <c r="VBS3" s="525"/>
      <c r="VBT3" s="525"/>
      <c r="VBU3" s="525"/>
      <c r="VBV3" s="525"/>
      <c r="VBW3" s="525"/>
      <c r="VBX3" s="525"/>
      <c r="VBY3" s="525"/>
      <c r="VBZ3" s="525"/>
      <c r="VCA3" s="525"/>
      <c r="VCB3" s="525"/>
      <c r="VCC3" s="525"/>
      <c r="VCD3" s="525"/>
      <c r="VCE3" s="525"/>
      <c r="VCF3" s="525"/>
      <c r="VCG3" s="525"/>
      <c r="VCH3" s="525"/>
      <c r="VCI3" s="525"/>
      <c r="VCJ3" s="525"/>
      <c r="VCK3" s="525"/>
      <c r="VCL3" s="525"/>
      <c r="VCM3" s="525"/>
      <c r="VCN3" s="525"/>
      <c r="VCO3" s="525"/>
      <c r="VCP3" s="525"/>
      <c r="VCQ3" s="525"/>
      <c r="VCR3" s="525"/>
      <c r="VCS3" s="525"/>
      <c r="VCT3" s="525"/>
      <c r="VCU3" s="525"/>
      <c r="VCV3" s="525"/>
      <c r="VCW3" s="525"/>
      <c r="VCX3" s="525"/>
      <c r="VCY3" s="525"/>
      <c r="VCZ3" s="525"/>
      <c r="VDA3" s="525"/>
      <c r="VDB3" s="525"/>
      <c r="VDC3" s="525"/>
      <c r="VDD3" s="525"/>
      <c r="VDE3" s="525"/>
      <c r="VDF3" s="525"/>
      <c r="VDG3" s="525"/>
      <c r="VDH3" s="525"/>
      <c r="VDI3" s="525"/>
      <c r="VDJ3" s="525"/>
      <c r="VDK3" s="525"/>
      <c r="VDL3" s="525"/>
      <c r="VDM3" s="525"/>
      <c r="VDN3" s="525"/>
      <c r="VDO3" s="525"/>
      <c r="VDP3" s="525"/>
      <c r="VDQ3" s="525"/>
      <c r="VDR3" s="525"/>
      <c r="VDS3" s="525"/>
      <c r="VDT3" s="525"/>
      <c r="VDU3" s="525"/>
      <c r="VDV3" s="525"/>
      <c r="VDW3" s="525"/>
      <c r="VDX3" s="525"/>
      <c r="VDY3" s="525"/>
      <c r="VDZ3" s="525"/>
      <c r="VEA3" s="525"/>
      <c r="VEB3" s="525"/>
      <c r="VEC3" s="525"/>
      <c r="VED3" s="525"/>
      <c r="VEE3" s="525"/>
      <c r="VEF3" s="525"/>
      <c r="VEG3" s="525"/>
      <c r="VEH3" s="525"/>
      <c r="VEI3" s="525"/>
      <c r="VEJ3" s="525"/>
      <c r="VEK3" s="525"/>
      <c r="VEL3" s="525"/>
      <c r="VEM3" s="525"/>
      <c r="VEN3" s="525"/>
      <c r="VEO3" s="525"/>
      <c r="VEP3" s="525"/>
      <c r="VEQ3" s="525"/>
      <c r="VER3" s="525"/>
      <c r="VES3" s="525"/>
      <c r="VET3" s="525"/>
      <c r="VEU3" s="525"/>
      <c r="VEV3" s="525"/>
      <c r="VEW3" s="525"/>
      <c r="VEX3" s="525"/>
      <c r="VEY3" s="525"/>
      <c r="VEZ3" s="525"/>
      <c r="VFA3" s="525"/>
      <c r="VFB3" s="525"/>
      <c r="VFC3" s="525"/>
      <c r="VFD3" s="525"/>
      <c r="VFE3" s="525"/>
      <c r="VFF3" s="525"/>
      <c r="VFG3" s="525"/>
      <c r="VFH3" s="525"/>
      <c r="VFI3" s="525"/>
      <c r="VFJ3" s="525"/>
      <c r="VFK3" s="525"/>
      <c r="VFL3" s="525"/>
      <c r="VFM3" s="525"/>
      <c r="VFN3" s="525"/>
      <c r="VFO3" s="525"/>
      <c r="VFP3" s="525"/>
      <c r="VFQ3" s="525"/>
      <c r="VFR3" s="525"/>
      <c r="VFS3" s="525"/>
      <c r="VFT3" s="525"/>
      <c r="VFU3" s="525"/>
      <c r="VFV3" s="525"/>
      <c r="VFW3" s="525"/>
      <c r="VFX3" s="525"/>
      <c r="VFY3" s="525"/>
      <c r="VFZ3" s="525"/>
      <c r="VGA3" s="525"/>
      <c r="VGB3" s="525"/>
      <c r="VGC3" s="525"/>
      <c r="VGD3" s="525"/>
      <c r="VGE3" s="525"/>
      <c r="VGF3" s="525"/>
      <c r="VGG3" s="525"/>
      <c r="VGH3" s="525"/>
      <c r="VGI3" s="525"/>
      <c r="VGJ3" s="525"/>
      <c r="VGK3" s="525"/>
      <c r="VGL3" s="525"/>
      <c r="VGM3" s="525"/>
      <c r="VGN3" s="525"/>
      <c r="VGO3" s="525"/>
      <c r="VGP3" s="525"/>
      <c r="VGQ3" s="525"/>
      <c r="VGR3" s="525"/>
      <c r="VGS3" s="525"/>
      <c r="VGT3" s="525"/>
      <c r="VGU3" s="525"/>
      <c r="VGV3" s="525"/>
      <c r="VGW3" s="525"/>
      <c r="VGX3" s="525"/>
      <c r="VGY3" s="525"/>
      <c r="VGZ3" s="525"/>
      <c r="VHA3" s="525"/>
      <c r="VHB3" s="525"/>
      <c r="VHC3" s="525"/>
      <c r="VHD3" s="525"/>
      <c r="VHE3" s="525"/>
      <c r="VHF3" s="525"/>
      <c r="VHG3" s="525"/>
      <c r="VHH3" s="525"/>
      <c r="VHI3" s="525"/>
      <c r="VHJ3" s="525"/>
      <c r="VHK3" s="525"/>
      <c r="VHL3" s="525"/>
      <c r="VHM3" s="525"/>
      <c r="VHN3" s="525"/>
      <c r="VHO3" s="525"/>
      <c r="VHP3" s="525"/>
      <c r="VHQ3" s="525"/>
      <c r="VHR3" s="525"/>
      <c r="VHS3" s="525"/>
      <c r="VHT3" s="525"/>
      <c r="VHU3" s="525"/>
      <c r="VHV3" s="525"/>
      <c r="VHW3" s="525"/>
      <c r="VHX3" s="525"/>
      <c r="VHY3" s="525"/>
      <c r="VHZ3" s="525"/>
      <c r="VIA3" s="525"/>
      <c r="VIB3" s="525"/>
      <c r="VIC3" s="525"/>
      <c r="VID3" s="525"/>
      <c r="VIE3" s="525"/>
      <c r="VIF3" s="525"/>
      <c r="VIG3" s="525"/>
      <c r="VIH3" s="525"/>
      <c r="VII3" s="525"/>
      <c r="VIJ3" s="525"/>
      <c r="VIK3" s="525"/>
      <c r="VIL3" s="525"/>
      <c r="VIM3" s="525"/>
      <c r="VIN3" s="525"/>
      <c r="VIO3" s="525"/>
      <c r="VIP3" s="525"/>
      <c r="VIQ3" s="525"/>
      <c r="VIR3" s="525"/>
      <c r="VIS3" s="525"/>
      <c r="VIT3" s="525"/>
      <c r="VIU3" s="525"/>
      <c r="VIV3" s="525"/>
      <c r="VIW3" s="525"/>
      <c r="VIX3" s="525"/>
      <c r="VIY3" s="525"/>
      <c r="VIZ3" s="525"/>
      <c r="VJA3" s="525"/>
      <c r="VJB3" s="525"/>
      <c r="VJC3" s="525"/>
      <c r="VJD3" s="525"/>
      <c r="VJE3" s="525"/>
      <c r="VJF3" s="525"/>
      <c r="VJG3" s="525"/>
      <c r="VJH3" s="525"/>
      <c r="VJI3" s="525"/>
      <c r="VJJ3" s="525"/>
      <c r="VJK3" s="525"/>
      <c r="VJL3" s="525"/>
      <c r="VJM3" s="525"/>
      <c r="VJN3" s="525"/>
      <c r="VJO3" s="525"/>
      <c r="VJP3" s="525"/>
      <c r="VJQ3" s="525"/>
      <c r="VJR3" s="525"/>
      <c r="VJS3" s="525"/>
      <c r="VJT3" s="525"/>
      <c r="VJU3" s="525"/>
      <c r="VJV3" s="525"/>
      <c r="VJW3" s="525"/>
      <c r="VJX3" s="525"/>
      <c r="VJY3" s="525"/>
      <c r="VJZ3" s="525"/>
      <c r="VKA3" s="525"/>
      <c r="VKB3" s="525"/>
      <c r="VKC3" s="525"/>
      <c r="VKD3" s="525"/>
      <c r="VKE3" s="525"/>
      <c r="VKF3" s="525"/>
      <c r="VKG3" s="525"/>
      <c r="VKH3" s="525"/>
      <c r="VKI3" s="525"/>
      <c r="VKJ3" s="525"/>
      <c r="VKK3" s="525"/>
      <c r="VKL3" s="525"/>
      <c r="VKM3" s="525"/>
      <c r="VKN3" s="525"/>
      <c r="VKO3" s="525"/>
      <c r="VKP3" s="525"/>
      <c r="VKQ3" s="525"/>
      <c r="VKR3" s="525"/>
      <c r="VKS3" s="525"/>
      <c r="VKT3" s="525"/>
      <c r="VKU3" s="525"/>
      <c r="VKV3" s="525"/>
      <c r="VKW3" s="525"/>
      <c r="VKX3" s="525"/>
      <c r="VKY3" s="525"/>
      <c r="VKZ3" s="525"/>
      <c r="VLA3" s="525"/>
      <c r="VLB3" s="525"/>
      <c r="VLC3" s="525"/>
      <c r="VLD3" s="525"/>
      <c r="VLE3" s="525"/>
      <c r="VLF3" s="525"/>
      <c r="VLG3" s="525"/>
      <c r="VLH3" s="525"/>
      <c r="VLI3" s="525"/>
      <c r="VLJ3" s="525"/>
      <c r="VLK3" s="525"/>
      <c r="VLL3" s="525"/>
      <c r="VLM3" s="525"/>
      <c r="VLN3" s="525"/>
      <c r="VLO3" s="525"/>
      <c r="VLP3" s="525"/>
      <c r="VLQ3" s="525"/>
      <c r="VLR3" s="525"/>
      <c r="VLS3" s="525"/>
      <c r="VLT3" s="525"/>
      <c r="VLU3" s="525"/>
      <c r="VLV3" s="525"/>
      <c r="VLW3" s="525"/>
      <c r="VLX3" s="525"/>
      <c r="VLY3" s="525"/>
      <c r="VLZ3" s="525"/>
      <c r="VMA3" s="525"/>
      <c r="VMB3" s="525"/>
      <c r="VMC3" s="525"/>
      <c r="VMD3" s="525"/>
      <c r="VME3" s="525"/>
      <c r="VMF3" s="525"/>
      <c r="VMG3" s="525"/>
      <c r="VMH3" s="525"/>
      <c r="VMI3" s="525"/>
      <c r="VMJ3" s="525"/>
      <c r="VMK3" s="525"/>
      <c r="VML3" s="525"/>
      <c r="VMM3" s="525"/>
      <c r="VMN3" s="525"/>
      <c r="VMO3" s="525"/>
      <c r="VMP3" s="525"/>
      <c r="VMQ3" s="525"/>
      <c r="VMR3" s="525"/>
      <c r="VMS3" s="525"/>
      <c r="VMT3" s="525"/>
      <c r="VMU3" s="525"/>
      <c r="VMV3" s="525"/>
      <c r="VMW3" s="525"/>
      <c r="VMX3" s="525"/>
      <c r="VMY3" s="525"/>
      <c r="VMZ3" s="525"/>
      <c r="VNA3" s="525"/>
      <c r="VNB3" s="525"/>
      <c r="VNC3" s="525"/>
      <c r="VND3" s="525"/>
      <c r="VNE3" s="525"/>
      <c r="VNF3" s="525"/>
      <c r="VNG3" s="525"/>
      <c r="VNH3" s="525"/>
      <c r="VNI3" s="525"/>
      <c r="VNJ3" s="525"/>
      <c r="VNK3" s="525"/>
      <c r="VNL3" s="525"/>
      <c r="VNM3" s="525"/>
      <c r="VNN3" s="525"/>
      <c r="VNO3" s="525"/>
      <c r="VNP3" s="525"/>
      <c r="VNQ3" s="525"/>
      <c r="VNR3" s="525"/>
      <c r="VNS3" s="525"/>
      <c r="VNT3" s="525"/>
      <c r="VNU3" s="525"/>
      <c r="VNV3" s="525"/>
      <c r="VNW3" s="525"/>
      <c r="VNX3" s="525"/>
      <c r="VNY3" s="525"/>
      <c r="VNZ3" s="525"/>
      <c r="VOA3" s="525"/>
      <c r="VOB3" s="525"/>
      <c r="VOC3" s="525"/>
      <c r="VOD3" s="525"/>
      <c r="VOE3" s="525"/>
      <c r="VOF3" s="525"/>
      <c r="VOG3" s="525"/>
      <c r="VOH3" s="525"/>
      <c r="VOI3" s="525"/>
      <c r="VOJ3" s="525"/>
      <c r="VOK3" s="525"/>
      <c r="VOL3" s="525"/>
      <c r="VOM3" s="525"/>
      <c r="VON3" s="525"/>
      <c r="VOO3" s="525"/>
      <c r="VOP3" s="525"/>
      <c r="VOQ3" s="525"/>
      <c r="VOR3" s="525"/>
      <c r="VOS3" s="525"/>
      <c r="VOT3" s="525"/>
      <c r="VOU3" s="525"/>
      <c r="VOV3" s="525"/>
      <c r="VOW3" s="525"/>
      <c r="VOX3" s="525"/>
      <c r="VOY3" s="525"/>
      <c r="VOZ3" s="525"/>
      <c r="VPA3" s="525"/>
      <c r="VPB3" s="525"/>
      <c r="VPC3" s="525"/>
      <c r="VPD3" s="525"/>
      <c r="VPE3" s="525"/>
      <c r="VPF3" s="525"/>
      <c r="VPG3" s="525"/>
      <c r="VPH3" s="525"/>
      <c r="VPI3" s="525"/>
      <c r="VPJ3" s="525"/>
      <c r="VPK3" s="525"/>
      <c r="VPL3" s="525"/>
      <c r="VPM3" s="525"/>
      <c r="VPN3" s="525"/>
      <c r="VPO3" s="525"/>
      <c r="VPP3" s="525"/>
      <c r="VPQ3" s="525"/>
      <c r="VPR3" s="525"/>
      <c r="VPS3" s="525"/>
      <c r="VPT3" s="525"/>
      <c r="VPU3" s="525"/>
      <c r="VPV3" s="525"/>
      <c r="VPW3" s="525"/>
      <c r="VPX3" s="525"/>
      <c r="VPY3" s="525"/>
      <c r="VPZ3" s="525"/>
      <c r="VQA3" s="525"/>
      <c r="VQB3" s="525"/>
      <c r="VQC3" s="525"/>
      <c r="VQD3" s="525"/>
      <c r="VQE3" s="525"/>
      <c r="VQF3" s="525"/>
      <c r="VQG3" s="525"/>
      <c r="VQH3" s="525"/>
      <c r="VQI3" s="525"/>
      <c r="VQJ3" s="525"/>
      <c r="VQK3" s="525"/>
      <c r="VQL3" s="525"/>
      <c r="VQM3" s="525"/>
      <c r="VQN3" s="525"/>
      <c r="VQO3" s="525"/>
      <c r="VQP3" s="525"/>
      <c r="VQQ3" s="525"/>
      <c r="VQR3" s="525"/>
      <c r="VQS3" s="525"/>
      <c r="VQT3" s="525"/>
      <c r="VQU3" s="525"/>
      <c r="VQV3" s="525"/>
      <c r="VQW3" s="525"/>
      <c r="VQX3" s="525"/>
      <c r="VQY3" s="525"/>
      <c r="VQZ3" s="525"/>
      <c r="VRA3" s="525"/>
      <c r="VRB3" s="525"/>
      <c r="VRC3" s="525"/>
      <c r="VRD3" s="525"/>
      <c r="VRE3" s="525"/>
      <c r="VRF3" s="525"/>
      <c r="VRG3" s="525"/>
      <c r="VRH3" s="525"/>
      <c r="VRI3" s="525"/>
      <c r="VRJ3" s="525"/>
      <c r="VRK3" s="525"/>
      <c r="VRL3" s="525"/>
      <c r="VRM3" s="525"/>
      <c r="VRN3" s="525"/>
      <c r="VRO3" s="525"/>
      <c r="VRP3" s="525"/>
      <c r="VRQ3" s="525"/>
      <c r="VRR3" s="525"/>
      <c r="VRS3" s="525"/>
      <c r="VRT3" s="525"/>
      <c r="VRU3" s="525"/>
      <c r="VRV3" s="525"/>
      <c r="VRW3" s="525"/>
      <c r="VRX3" s="525"/>
      <c r="VRY3" s="525"/>
      <c r="VRZ3" s="525"/>
      <c r="VSA3" s="525"/>
      <c r="VSB3" s="525"/>
      <c r="VSC3" s="525"/>
      <c r="VSD3" s="525"/>
      <c r="VSE3" s="525"/>
      <c r="VSF3" s="525"/>
      <c r="VSG3" s="525"/>
      <c r="VSH3" s="525"/>
      <c r="VSI3" s="525"/>
      <c r="VSJ3" s="525"/>
      <c r="VSK3" s="525"/>
      <c r="VSL3" s="525"/>
      <c r="VSM3" s="525"/>
      <c r="VSN3" s="525"/>
      <c r="VSO3" s="525"/>
      <c r="VSP3" s="525"/>
      <c r="VSQ3" s="525"/>
      <c r="VSR3" s="525"/>
      <c r="VSS3" s="525"/>
      <c r="VST3" s="525"/>
      <c r="VSU3" s="525"/>
      <c r="VSV3" s="525"/>
      <c r="VSW3" s="525"/>
      <c r="VSX3" s="525"/>
      <c r="VSY3" s="525"/>
      <c r="VSZ3" s="525"/>
      <c r="VTA3" s="525"/>
      <c r="VTB3" s="525"/>
      <c r="VTC3" s="525"/>
      <c r="VTD3" s="525"/>
      <c r="VTE3" s="525"/>
      <c r="VTF3" s="525"/>
      <c r="VTG3" s="525"/>
      <c r="VTH3" s="525"/>
      <c r="VTI3" s="525"/>
      <c r="VTJ3" s="525"/>
      <c r="VTK3" s="525"/>
      <c r="VTL3" s="525"/>
      <c r="VTM3" s="525"/>
      <c r="VTN3" s="525"/>
      <c r="VTO3" s="525"/>
      <c r="VTP3" s="525"/>
      <c r="VTQ3" s="525"/>
      <c r="VTR3" s="525"/>
      <c r="VTS3" s="525"/>
      <c r="VTT3" s="525"/>
      <c r="VTU3" s="525"/>
      <c r="VTV3" s="525"/>
      <c r="VTW3" s="525"/>
      <c r="VTX3" s="525"/>
      <c r="VTY3" s="525"/>
      <c r="VTZ3" s="525"/>
      <c r="VUA3" s="525"/>
      <c r="VUB3" s="525"/>
      <c r="VUC3" s="525"/>
      <c r="VUD3" s="525"/>
      <c r="VUE3" s="525"/>
      <c r="VUF3" s="525"/>
      <c r="VUG3" s="525"/>
      <c r="VUH3" s="525"/>
      <c r="VUI3" s="525"/>
      <c r="VUJ3" s="525"/>
      <c r="VUK3" s="525"/>
      <c r="VUL3" s="525"/>
      <c r="VUM3" s="525"/>
      <c r="VUN3" s="525"/>
      <c r="VUO3" s="525"/>
      <c r="VUP3" s="525"/>
      <c r="VUQ3" s="525"/>
      <c r="VUR3" s="525"/>
      <c r="VUS3" s="525"/>
      <c r="VUT3" s="525"/>
      <c r="VUU3" s="525"/>
      <c r="VUV3" s="525"/>
      <c r="VUW3" s="525"/>
      <c r="VUX3" s="525"/>
      <c r="VUY3" s="525"/>
      <c r="VUZ3" s="525"/>
      <c r="VVA3" s="525"/>
      <c r="VVB3" s="525"/>
      <c r="VVC3" s="525"/>
      <c r="VVD3" s="525"/>
      <c r="VVE3" s="525"/>
      <c r="VVF3" s="525"/>
      <c r="VVG3" s="525"/>
      <c r="VVH3" s="525"/>
      <c r="VVI3" s="525"/>
      <c r="VVJ3" s="525"/>
      <c r="VVK3" s="525"/>
      <c r="VVL3" s="525"/>
      <c r="VVM3" s="525"/>
      <c r="VVN3" s="525"/>
      <c r="VVO3" s="525"/>
      <c r="VVP3" s="525"/>
      <c r="VVQ3" s="525"/>
      <c r="VVR3" s="525"/>
      <c r="VVS3" s="525"/>
      <c r="VVT3" s="525"/>
      <c r="VVU3" s="525"/>
      <c r="VVV3" s="525"/>
      <c r="VVW3" s="525"/>
      <c r="VVX3" s="525"/>
      <c r="VVY3" s="525"/>
      <c r="VVZ3" s="525"/>
      <c r="VWA3" s="525"/>
      <c r="VWB3" s="525"/>
      <c r="VWC3" s="525"/>
      <c r="VWD3" s="525"/>
      <c r="VWE3" s="525"/>
      <c r="VWF3" s="525"/>
      <c r="VWG3" s="525"/>
      <c r="VWH3" s="525"/>
      <c r="VWI3" s="525"/>
      <c r="VWJ3" s="525"/>
      <c r="VWK3" s="525"/>
      <c r="VWL3" s="525"/>
      <c r="VWM3" s="525"/>
      <c r="VWN3" s="525"/>
      <c r="VWO3" s="525"/>
      <c r="VWP3" s="525"/>
      <c r="VWQ3" s="525"/>
      <c r="VWR3" s="525"/>
      <c r="VWS3" s="525"/>
      <c r="VWT3" s="525"/>
      <c r="VWU3" s="525"/>
      <c r="VWV3" s="525"/>
      <c r="VWW3" s="525"/>
      <c r="VWX3" s="525"/>
      <c r="VWY3" s="525"/>
      <c r="VWZ3" s="525"/>
      <c r="VXA3" s="525"/>
      <c r="VXB3" s="525"/>
      <c r="VXC3" s="525"/>
      <c r="VXD3" s="525"/>
      <c r="VXE3" s="525"/>
      <c r="VXF3" s="525"/>
      <c r="VXG3" s="525"/>
      <c r="VXH3" s="525"/>
      <c r="VXI3" s="525"/>
      <c r="VXJ3" s="525"/>
      <c r="VXK3" s="525"/>
      <c r="VXL3" s="525"/>
      <c r="VXM3" s="525"/>
      <c r="VXN3" s="525"/>
      <c r="VXO3" s="525"/>
      <c r="VXP3" s="525"/>
      <c r="VXQ3" s="525"/>
      <c r="VXR3" s="525"/>
      <c r="VXS3" s="525"/>
      <c r="VXT3" s="525"/>
      <c r="VXU3" s="525"/>
      <c r="VXV3" s="525"/>
      <c r="VXW3" s="525"/>
      <c r="VXX3" s="525"/>
      <c r="VXY3" s="525"/>
      <c r="VXZ3" s="525"/>
      <c r="VYA3" s="525"/>
      <c r="VYB3" s="525"/>
      <c r="VYC3" s="525"/>
      <c r="VYD3" s="525"/>
      <c r="VYE3" s="525"/>
      <c r="VYF3" s="525"/>
      <c r="VYG3" s="525"/>
      <c r="VYH3" s="525"/>
      <c r="VYI3" s="525"/>
      <c r="VYJ3" s="525"/>
      <c r="VYK3" s="525"/>
      <c r="VYL3" s="525"/>
      <c r="VYM3" s="525"/>
      <c r="VYN3" s="525"/>
      <c r="VYO3" s="525"/>
      <c r="VYP3" s="525"/>
      <c r="VYQ3" s="525"/>
      <c r="VYR3" s="525"/>
      <c r="VYS3" s="525"/>
      <c r="VYT3" s="525"/>
      <c r="VYU3" s="525"/>
      <c r="VYV3" s="525"/>
      <c r="VYW3" s="525"/>
      <c r="VYX3" s="525"/>
      <c r="VYY3" s="525"/>
      <c r="VYZ3" s="525"/>
      <c r="VZA3" s="525"/>
      <c r="VZB3" s="525"/>
      <c r="VZC3" s="525"/>
      <c r="VZD3" s="525"/>
      <c r="VZE3" s="525"/>
      <c r="VZF3" s="525"/>
      <c r="VZG3" s="525"/>
      <c r="VZH3" s="525"/>
      <c r="VZI3" s="525"/>
      <c r="VZJ3" s="525"/>
      <c r="VZK3" s="525"/>
      <c r="VZL3" s="525"/>
      <c r="VZM3" s="525"/>
      <c r="VZN3" s="525"/>
      <c r="VZO3" s="525"/>
      <c r="VZP3" s="525"/>
      <c r="VZQ3" s="525"/>
      <c r="VZR3" s="525"/>
      <c r="VZS3" s="525"/>
      <c r="VZT3" s="525"/>
      <c r="VZU3" s="525"/>
      <c r="VZV3" s="525"/>
      <c r="VZW3" s="525"/>
      <c r="VZX3" s="525"/>
      <c r="VZY3" s="525"/>
      <c r="VZZ3" s="525"/>
      <c r="WAA3" s="525"/>
      <c r="WAB3" s="525"/>
      <c r="WAC3" s="525"/>
      <c r="WAD3" s="525"/>
      <c r="WAE3" s="525"/>
      <c r="WAF3" s="525"/>
      <c r="WAG3" s="525"/>
      <c r="WAH3" s="525"/>
      <c r="WAI3" s="525"/>
      <c r="WAJ3" s="525"/>
      <c r="WAK3" s="525"/>
      <c r="WAL3" s="525"/>
      <c r="WAM3" s="525"/>
      <c r="WAN3" s="525"/>
      <c r="WAO3" s="525"/>
      <c r="WAP3" s="525"/>
      <c r="WAQ3" s="525"/>
      <c r="WAR3" s="525"/>
      <c r="WAS3" s="525"/>
      <c r="WAT3" s="525"/>
      <c r="WAU3" s="525"/>
      <c r="WAV3" s="525"/>
      <c r="WAW3" s="525"/>
      <c r="WAX3" s="525"/>
      <c r="WAY3" s="525"/>
      <c r="WAZ3" s="525"/>
      <c r="WBA3" s="525"/>
      <c r="WBB3" s="525"/>
      <c r="WBC3" s="525"/>
      <c r="WBD3" s="525"/>
      <c r="WBE3" s="525"/>
      <c r="WBF3" s="525"/>
      <c r="WBG3" s="525"/>
      <c r="WBH3" s="525"/>
      <c r="WBI3" s="525"/>
      <c r="WBJ3" s="525"/>
      <c r="WBK3" s="525"/>
      <c r="WBL3" s="525"/>
      <c r="WBM3" s="525"/>
      <c r="WBN3" s="525"/>
      <c r="WBO3" s="525"/>
      <c r="WBP3" s="525"/>
      <c r="WBQ3" s="525"/>
      <c r="WBR3" s="525"/>
      <c r="WBS3" s="525"/>
      <c r="WBT3" s="525"/>
      <c r="WBU3" s="525"/>
      <c r="WBV3" s="525"/>
      <c r="WBW3" s="525"/>
      <c r="WBX3" s="525"/>
      <c r="WBY3" s="525"/>
      <c r="WBZ3" s="525"/>
      <c r="WCA3" s="525"/>
      <c r="WCB3" s="525"/>
      <c r="WCC3" s="525"/>
      <c r="WCD3" s="525"/>
      <c r="WCE3" s="525"/>
      <c r="WCF3" s="525"/>
      <c r="WCG3" s="525"/>
      <c r="WCH3" s="525"/>
      <c r="WCI3" s="525"/>
      <c r="WCJ3" s="525"/>
      <c r="WCK3" s="525"/>
      <c r="WCL3" s="525"/>
      <c r="WCM3" s="525"/>
      <c r="WCN3" s="525"/>
      <c r="WCO3" s="525"/>
      <c r="WCP3" s="525"/>
      <c r="WCQ3" s="525"/>
      <c r="WCR3" s="525"/>
      <c r="WCS3" s="525"/>
      <c r="WCT3" s="525"/>
      <c r="WCU3" s="525"/>
      <c r="WCV3" s="525"/>
      <c r="WCW3" s="525"/>
      <c r="WCX3" s="525"/>
      <c r="WCY3" s="525"/>
      <c r="WCZ3" s="525"/>
      <c r="WDA3" s="525"/>
      <c r="WDB3" s="525"/>
      <c r="WDC3" s="525"/>
      <c r="WDD3" s="525"/>
      <c r="WDE3" s="525"/>
      <c r="WDF3" s="525"/>
      <c r="WDG3" s="525"/>
      <c r="WDH3" s="525"/>
      <c r="WDI3" s="525"/>
      <c r="WDJ3" s="525"/>
      <c r="WDK3" s="525"/>
      <c r="WDL3" s="525"/>
      <c r="WDM3" s="525"/>
      <c r="WDN3" s="525"/>
      <c r="WDO3" s="525"/>
      <c r="WDP3" s="525"/>
      <c r="WDQ3" s="525"/>
      <c r="WDR3" s="525"/>
      <c r="WDS3" s="525"/>
      <c r="WDT3" s="525"/>
      <c r="WDU3" s="525"/>
      <c r="WDV3" s="525"/>
      <c r="WDW3" s="525"/>
      <c r="WDX3" s="525"/>
      <c r="WDY3" s="525"/>
      <c r="WDZ3" s="525"/>
      <c r="WEA3" s="525"/>
      <c r="WEB3" s="525"/>
      <c r="WEC3" s="525"/>
      <c r="WED3" s="525"/>
      <c r="WEE3" s="525"/>
      <c r="WEF3" s="525"/>
      <c r="WEG3" s="525"/>
      <c r="WEH3" s="525"/>
      <c r="WEI3" s="525"/>
      <c r="WEJ3" s="525"/>
      <c r="WEK3" s="525"/>
      <c r="WEL3" s="525"/>
      <c r="WEM3" s="525"/>
      <c r="WEN3" s="525"/>
      <c r="WEO3" s="525"/>
      <c r="WEP3" s="525"/>
      <c r="WEQ3" s="525"/>
      <c r="WER3" s="525"/>
      <c r="WES3" s="525"/>
      <c r="WET3" s="525"/>
      <c r="WEU3" s="525"/>
      <c r="WEV3" s="525"/>
      <c r="WEW3" s="525"/>
      <c r="WEX3" s="525"/>
      <c r="WEY3" s="525"/>
      <c r="WEZ3" s="525"/>
      <c r="WFA3" s="525"/>
      <c r="WFB3" s="525"/>
      <c r="WFC3" s="525"/>
      <c r="WFD3" s="525"/>
      <c r="WFE3" s="525"/>
      <c r="WFF3" s="525"/>
      <c r="WFG3" s="525"/>
      <c r="WFH3" s="525"/>
      <c r="WFI3" s="525"/>
      <c r="WFJ3" s="525"/>
      <c r="WFK3" s="525"/>
      <c r="WFL3" s="525"/>
      <c r="WFM3" s="525"/>
      <c r="WFN3" s="525"/>
      <c r="WFO3" s="525"/>
      <c r="WFP3" s="525"/>
      <c r="WFQ3" s="525"/>
      <c r="WFR3" s="525"/>
      <c r="WFS3" s="525"/>
      <c r="WFT3" s="525"/>
      <c r="WFU3" s="525"/>
      <c r="WFV3" s="525"/>
      <c r="WFW3" s="525"/>
      <c r="WFX3" s="525"/>
      <c r="WFY3" s="525"/>
      <c r="WFZ3" s="525"/>
      <c r="WGA3" s="525"/>
      <c r="WGB3" s="525"/>
      <c r="WGC3" s="525"/>
      <c r="WGD3" s="525"/>
      <c r="WGE3" s="525"/>
      <c r="WGF3" s="525"/>
      <c r="WGG3" s="525"/>
      <c r="WGH3" s="525"/>
      <c r="WGI3" s="525"/>
      <c r="WGJ3" s="525"/>
      <c r="WGK3" s="525"/>
      <c r="WGL3" s="525"/>
      <c r="WGM3" s="525"/>
      <c r="WGN3" s="525"/>
      <c r="WGO3" s="525"/>
      <c r="WGP3" s="525"/>
      <c r="WGQ3" s="525"/>
      <c r="WGR3" s="525"/>
      <c r="WGS3" s="525"/>
      <c r="WGT3" s="525"/>
      <c r="WGU3" s="525"/>
      <c r="WGV3" s="525"/>
      <c r="WGW3" s="525"/>
      <c r="WGX3" s="525"/>
      <c r="WGY3" s="525"/>
      <c r="WGZ3" s="525"/>
      <c r="WHA3" s="525"/>
      <c r="WHB3" s="525"/>
      <c r="WHC3" s="525"/>
      <c r="WHD3" s="525"/>
      <c r="WHE3" s="525"/>
      <c r="WHF3" s="525"/>
      <c r="WHG3" s="525"/>
      <c r="WHH3" s="525"/>
      <c r="WHI3" s="525"/>
      <c r="WHJ3" s="525"/>
      <c r="WHK3" s="525"/>
      <c r="WHL3" s="525"/>
      <c r="WHM3" s="525"/>
      <c r="WHN3" s="525"/>
      <c r="WHO3" s="525"/>
      <c r="WHP3" s="525"/>
      <c r="WHQ3" s="525"/>
      <c r="WHR3" s="525"/>
      <c r="WHS3" s="525"/>
      <c r="WHT3" s="525"/>
      <c r="WHU3" s="525"/>
      <c r="WHV3" s="525"/>
      <c r="WHW3" s="525"/>
      <c r="WHX3" s="525"/>
      <c r="WHY3" s="525"/>
      <c r="WHZ3" s="525"/>
      <c r="WIA3" s="525"/>
      <c r="WIB3" s="525"/>
      <c r="WIC3" s="525"/>
      <c r="WID3" s="525"/>
      <c r="WIE3" s="525"/>
      <c r="WIF3" s="525"/>
      <c r="WIG3" s="525"/>
      <c r="WIH3" s="525"/>
      <c r="WII3" s="525"/>
      <c r="WIJ3" s="525"/>
      <c r="WIK3" s="525"/>
      <c r="WIL3" s="525"/>
      <c r="WIM3" s="525"/>
      <c r="WIN3" s="525"/>
      <c r="WIO3" s="525"/>
      <c r="WIP3" s="525"/>
      <c r="WIQ3" s="525"/>
      <c r="WIR3" s="525"/>
      <c r="WIS3" s="525"/>
      <c r="WIT3" s="525"/>
      <c r="WIU3" s="525"/>
      <c r="WIV3" s="525"/>
      <c r="WIW3" s="525"/>
      <c r="WIX3" s="525"/>
      <c r="WIY3" s="525"/>
      <c r="WIZ3" s="525"/>
      <c r="WJA3" s="525"/>
      <c r="WJB3" s="525"/>
      <c r="WJC3" s="525"/>
      <c r="WJD3" s="525"/>
      <c r="WJE3" s="525"/>
      <c r="WJF3" s="525"/>
      <c r="WJG3" s="525"/>
      <c r="WJH3" s="525"/>
      <c r="WJI3" s="525"/>
      <c r="WJJ3" s="525"/>
      <c r="WJK3" s="525"/>
      <c r="WJL3" s="525"/>
      <c r="WJM3" s="525"/>
      <c r="WJN3" s="525"/>
      <c r="WJO3" s="525"/>
      <c r="WJP3" s="525"/>
      <c r="WJQ3" s="525"/>
      <c r="WJR3" s="525"/>
      <c r="WJS3" s="525"/>
      <c r="WJT3" s="525"/>
      <c r="WJU3" s="525"/>
      <c r="WJV3" s="525"/>
      <c r="WJW3" s="525"/>
      <c r="WJX3" s="525"/>
      <c r="WJY3" s="525"/>
      <c r="WJZ3" s="525"/>
      <c r="WKA3" s="525"/>
      <c r="WKB3" s="525"/>
      <c r="WKC3" s="525"/>
      <c r="WKD3" s="525"/>
      <c r="WKE3" s="525"/>
      <c r="WKF3" s="525"/>
      <c r="WKG3" s="525"/>
      <c r="WKH3" s="525"/>
      <c r="WKI3" s="525"/>
      <c r="WKJ3" s="525"/>
      <c r="WKK3" s="525"/>
      <c r="WKL3" s="525"/>
      <c r="WKM3" s="525"/>
      <c r="WKN3" s="525"/>
      <c r="WKO3" s="525"/>
      <c r="WKP3" s="525"/>
      <c r="WKQ3" s="525"/>
      <c r="WKR3" s="525"/>
      <c r="WKS3" s="525"/>
      <c r="WKT3" s="525"/>
      <c r="WKU3" s="525"/>
      <c r="WKV3" s="525"/>
      <c r="WKW3" s="525"/>
      <c r="WKX3" s="525"/>
      <c r="WKY3" s="525"/>
      <c r="WKZ3" s="525"/>
      <c r="WLA3" s="525"/>
      <c r="WLB3" s="525"/>
      <c r="WLC3" s="525"/>
      <c r="WLD3" s="525"/>
      <c r="WLE3" s="525"/>
      <c r="WLF3" s="525"/>
      <c r="WLG3" s="525"/>
      <c r="WLH3" s="525"/>
      <c r="WLI3" s="525"/>
      <c r="WLJ3" s="525"/>
      <c r="WLK3" s="525"/>
      <c r="WLL3" s="525"/>
      <c r="WLM3" s="525"/>
      <c r="WLN3" s="525"/>
      <c r="WLO3" s="525"/>
      <c r="WLP3" s="525"/>
      <c r="WLQ3" s="525"/>
      <c r="WLR3" s="525"/>
      <c r="WLS3" s="525"/>
      <c r="WLT3" s="525"/>
      <c r="WLU3" s="525"/>
      <c r="WLV3" s="525"/>
      <c r="WLW3" s="525"/>
      <c r="WLX3" s="525"/>
      <c r="WLY3" s="525"/>
      <c r="WLZ3" s="525"/>
      <c r="WMA3" s="525"/>
      <c r="WMB3" s="525"/>
      <c r="WMC3" s="525"/>
      <c r="WMD3" s="525"/>
      <c r="WME3" s="525"/>
      <c r="WMF3" s="525"/>
      <c r="WMG3" s="525"/>
      <c r="WMH3" s="525"/>
      <c r="WMI3" s="525"/>
      <c r="WMJ3" s="525"/>
      <c r="WMK3" s="525"/>
      <c r="WML3" s="525"/>
      <c r="WMM3" s="525"/>
      <c r="WMN3" s="525"/>
      <c r="WMO3" s="525"/>
      <c r="WMP3" s="525"/>
      <c r="WMQ3" s="525"/>
      <c r="WMR3" s="525"/>
      <c r="WMS3" s="525"/>
      <c r="WMT3" s="525"/>
      <c r="WMU3" s="525"/>
      <c r="WMV3" s="525"/>
      <c r="WMW3" s="525"/>
      <c r="WMX3" s="525"/>
      <c r="WMY3" s="525"/>
      <c r="WMZ3" s="525"/>
      <c r="WNA3" s="525"/>
      <c r="WNB3" s="525"/>
      <c r="WNC3" s="525"/>
      <c r="WND3" s="525"/>
      <c r="WNE3" s="525"/>
      <c r="WNF3" s="525"/>
      <c r="WNG3" s="525"/>
      <c r="WNH3" s="525"/>
      <c r="WNI3" s="525"/>
      <c r="WNJ3" s="525"/>
      <c r="WNK3" s="525"/>
      <c r="WNL3" s="525"/>
      <c r="WNM3" s="525"/>
      <c r="WNN3" s="525"/>
      <c r="WNO3" s="525"/>
      <c r="WNP3" s="525"/>
      <c r="WNQ3" s="525"/>
      <c r="WNR3" s="525"/>
      <c r="WNS3" s="525"/>
      <c r="WNT3" s="525"/>
      <c r="WNU3" s="525"/>
      <c r="WNV3" s="525"/>
      <c r="WNW3" s="525"/>
      <c r="WNX3" s="525"/>
      <c r="WNY3" s="525"/>
      <c r="WNZ3" s="525"/>
      <c r="WOA3" s="525"/>
      <c r="WOB3" s="525"/>
      <c r="WOC3" s="525"/>
      <c r="WOD3" s="525"/>
      <c r="WOE3" s="525"/>
      <c r="WOF3" s="525"/>
      <c r="WOG3" s="525"/>
      <c r="WOH3" s="525"/>
      <c r="WOI3" s="525"/>
      <c r="WOJ3" s="525"/>
      <c r="WOK3" s="525"/>
      <c r="WOL3" s="525"/>
      <c r="WOM3" s="525"/>
      <c r="WON3" s="525"/>
      <c r="WOO3" s="525"/>
      <c r="WOP3" s="525"/>
      <c r="WOQ3" s="525"/>
      <c r="WOR3" s="525"/>
      <c r="WOS3" s="525"/>
      <c r="WOT3" s="525"/>
      <c r="WOU3" s="525"/>
      <c r="WOV3" s="525"/>
      <c r="WOW3" s="525"/>
      <c r="WOX3" s="525"/>
      <c r="WOY3" s="525"/>
      <c r="WOZ3" s="525"/>
      <c r="WPA3" s="525"/>
      <c r="WPB3" s="525"/>
      <c r="WPC3" s="525"/>
      <c r="WPD3" s="525"/>
      <c r="WPE3" s="525"/>
      <c r="WPF3" s="525"/>
      <c r="WPG3" s="525"/>
      <c r="WPH3" s="525"/>
      <c r="WPI3" s="525"/>
      <c r="WPJ3" s="525"/>
      <c r="WPK3" s="525"/>
      <c r="WPL3" s="525"/>
      <c r="WPM3" s="525"/>
      <c r="WPN3" s="525"/>
      <c r="WPO3" s="525"/>
      <c r="WPP3" s="525"/>
      <c r="WPQ3" s="525"/>
      <c r="WPR3" s="525"/>
      <c r="WPS3" s="525"/>
      <c r="WPT3" s="525"/>
      <c r="WPU3" s="525"/>
      <c r="WPV3" s="525"/>
      <c r="WPW3" s="525"/>
      <c r="WPX3" s="525"/>
      <c r="WPY3" s="525"/>
      <c r="WPZ3" s="525"/>
      <c r="WQA3" s="525"/>
      <c r="WQB3" s="525"/>
      <c r="WQC3" s="525"/>
      <c r="WQD3" s="525"/>
      <c r="WQE3" s="525"/>
      <c r="WQF3" s="525"/>
      <c r="WQG3" s="525"/>
      <c r="WQH3" s="525"/>
      <c r="WQI3" s="525"/>
      <c r="WQJ3" s="525"/>
      <c r="WQK3" s="525"/>
      <c r="WQL3" s="525"/>
      <c r="WQM3" s="525"/>
      <c r="WQN3" s="525"/>
      <c r="WQO3" s="525"/>
      <c r="WQP3" s="525"/>
      <c r="WQQ3" s="525"/>
      <c r="WQR3" s="525"/>
      <c r="WQS3" s="525"/>
      <c r="WQT3" s="525"/>
      <c r="WQU3" s="525"/>
      <c r="WQV3" s="525"/>
      <c r="WQW3" s="525"/>
      <c r="WQX3" s="525"/>
      <c r="WQY3" s="525"/>
      <c r="WQZ3" s="525"/>
      <c r="WRA3" s="525"/>
      <c r="WRB3" s="525"/>
      <c r="WRC3" s="525"/>
      <c r="WRD3" s="525"/>
      <c r="WRE3" s="525"/>
      <c r="WRF3" s="525"/>
      <c r="WRG3" s="525"/>
      <c r="WRH3" s="525"/>
      <c r="WRI3" s="525"/>
      <c r="WRJ3" s="525"/>
      <c r="WRK3" s="525"/>
      <c r="WRL3" s="525"/>
      <c r="WRM3" s="525"/>
      <c r="WRN3" s="525"/>
      <c r="WRO3" s="525"/>
      <c r="WRP3" s="525"/>
      <c r="WRQ3" s="525"/>
      <c r="WRR3" s="525"/>
      <c r="WRS3" s="525"/>
      <c r="WRT3" s="525"/>
      <c r="WRU3" s="525"/>
      <c r="WRV3" s="525"/>
      <c r="WRW3" s="525"/>
      <c r="WRX3" s="525"/>
      <c r="WRY3" s="525"/>
      <c r="WRZ3" s="525"/>
      <c r="WSA3" s="525"/>
      <c r="WSB3" s="525"/>
      <c r="WSC3" s="525"/>
      <c r="WSD3" s="525"/>
      <c r="WSE3" s="525"/>
      <c r="WSF3" s="525"/>
      <c r="WSG3" s="525"/>
      <c r="WSH3" s="525"/>
      <c r="WSI3" s="525"/>
      <c r="WSJ3" s="525"/>
      <c r="WSK3" s="525"/>
      <c r="WSL3" s="525"/>
      <c r="WSM3" s="525"/>
      <c r="WSN3" s="525"/>
      <c r="WSO3" s="525"/>
      <c r="WSP3" s="525"/>
      <c r="WSQ3" s="525"/>
      <c r="WSR3" s="525"/>
      <c r="WSS3" s="525"/>
      <c r="WST3" s="525"/>
      <c r="WSU3" s="525"/>
      <c r="WSV3" s="525"/>
      <c r="WSW3" s="525"/>
      <c r="WSX3" s="525"/>
      <c r="WSY3" s="525"/>
      <c r="WSZ3" s="525"/>
      <c r="WTA3" s="525"/>
      <c r="WTB3" s="525"/>
      <c r="WTC3" s="525"/>
      <c r="WTD3" s="525"/>
      <c r="WTE3" s="525"/>
      <c r="WTF3" s="525"/>
      <c r="WTG3" s="525"/>
      <c r="WTH3" s="525"/>
      <c r="WTI3" s="525"/>
      <c r="WTJ3" s="525"/>
      <c r="WTK3" s="525"/>
      <c r="WTL3" s="525"/>
      <c r="WTM3" s="525"/>
      <c r="WTN3" s="525"/>
      <c r="WTO3" s="525"/>
      <c r="WTP3" s="525"/>
      <c r="WTQ3" s="525"/>
      <c r="WTR3" s="525"/>
      <c r="WTS3" s="525"/>
      <c r="WTT3" s="525"/>
      <c r="WTU3" s="525"/>
      <c r="WTV3" s="525"/>
      <c r="WTW3" s="525"/>
      <c r="WTX3" s="525"/>
      <c r="WTY3" s="525"/>
      <c r="WTZ3" s="525"/>
      <c r="WUA3" s="525"/>
      <c r="WUB3" s="525"/>
      <c r="WUC3" s="525"/>
      <c r="WUD3" s="525"/>
      <c r="WUE3" s="525"/>
      <c r="WUF3" s="525"/>
      <c r="WUG3" s="525"/>
      <c r="WUH3" s="525"/>
      <c r="WUI3" s="525"/>
      <c r="WUJ3" s="525"/>
      <c r="WUK3" s="525"/>
      <c r="WUL3" s="525"/>
      <c r="WUM3" s="525"/>
      <c r="WUN3" s="525"/>
      <c r="WUO3" s="525"/>
      <c r="WUP3" s="525"/>
      <c r="WUQ3" s="525"/>
      <c r="WUR3" s="525"/>
      <c r="WUS3" s="525"/>
      <c r="WUT3" s="525"/>
      <c r="WUU3" s="525"/>
      <c r="WUV3" s="525"/>
      <c r="WUW3" s="525"/>
      <c r="WUX3" s="525"/>
      <c r="WUY3" s="525"/>
      <c r="WUZ3" s="525"/>
      <c r="WVA3" s="525"/>
      <c r="WVB3" s="525"/>
      <c r="WVC3" s="525"/>
      <c r="WVD3" s="525"/>
      <c r="WVE3" s="525"/>
      <c r="WVF3" s="525"/>
      <c r="WVG3" s="525"/>
      <c r="WVH3" s="525"/>
      <c r="WVI3" s="525"/>
      <c r="WVJ3" s="525"/>
      <c r="WVK3" s="525"/>
      <c r="WVL3" s="525"/>
      <c r="WVM3" s="525"/>
      <c r="WVN3" s="525"/>
      <c r="WVO3" s="525"/>
      <c r="WVP3" s="525"/>
      <c r="WVQ3" s="525"/>
      <c r="WVR3" s="525"/>
      <c r="WVS3" s="525"/>
      <c r="WVT3" s="525"/>
      <c r="WVU3" s="525"/>
      <c r="WVV3" s="525"/>
      <c r="WVW3" s="525"/>
      <c r="WVX3" s="525"/>
      <c r="WVY3" s="525"/>
      <c r="WVZ3" s="525"/>
      <c r="WWA3" s="525"/>
      <c r="WWB3" s="525"/>
      <c r="WWC3" s="525"/>
      <c r="WWD3" s="525"/>
      <c r="WWE3" s="525"/>
      <c r="WWF3" s="525"/>
      <c r="WWG3" s="525"/>
      <c r="WWH3" s="525"/>
      <c r="WWI3" s="525"/>
      <c r="WWJ3" s="525"/>
      <c r="WWK3" s="525"/>
      <c r="WWL3" s="525"/>
      <c r="WWM3" s="525"/>
      <c r="WWN3" s="525"/>
      <c r="WWO3" s="525"/>
      <c r="WWP3" s="525"/>
      <c r="WWQ3" s="525"/>
      <c r="WWR3" s="525"/>
      <c r="WWS3" s="525"/>
      <c r="WWT3" s="525"/>
      <c r="WWU3" s="525"/>
      <c r="WWV3" s="525"/>
      <c r="WWW3" s="525"/>
      <c r="WWX3" s="525"/>
      <c r="WWY3" s="525"/>
      <c r="WWZ3" s="525"/>
      <c r="WXA3" s="525"/>
      <c r="WXB3" s="525"/>
      <c r="WXC3" s="525"/>
      <c r="WXD3" s="525"/>
      <c r="WXE3" s="525"/>
      <c r="WXF3" s="525"/>
      <c r="WXG3" s="525"/>
      <c r="WXH3" s="525"/>
      <c r="WXI3" s="525"/>
      <c r="WXJ3" s="525"/>
      <c r="WXK3" s="525"/>
      <c r="WXL3" s="525"/>
      <c r="WXM3" s="525"/>
      <c r="WXN3" s="525"/>
      <c r="WXO3" s="525"/>
      <c r="WXP3" s="525"/>
      <c r="WXQ3" s="525"/>
      <c r="WXR3" s="525"/>
      <c r="WXS3" s="525"/>
      <c r="WXT3" s="525"/>
      <c r="WXU3" s="525"/>
      <c r="WXV3" s="525"/>
      <c r="WXW3" s="525"/>
      <c r="WXX3" s="525"/>
      <c r="WXY3" s="525"/>
      <c r="WXZ3" s="525"/>
      <c r="WYA3" s="525"/>
      <c r="WYB3" s="525"/>
      <c r="WYC3" s="525"/>
      <c r="WYD3" s="525"/>
      <c r="WYE3" s="525"/>
      <c r="WYF3" s="525"/>
      <c r="WYG3" s="525"/>
      <c r="WYH3" s="525"/>
      <c r="WYI3" s="525"/>
      <c r="WYJ3" s="525"/>
      <c r="WYK3" s="525"/>
      <c r="WYL3" s="525"/>
      <c r="WYM3" s="525"/>
      <c r="WYN3" s="525"/>
      <c r="WYO3" s="525"/>
      <c r="WYP3" s="525"/>
      <c r="WYQ3" s="525"/>
      <c r="WYR3" s="525"/>
      <c r="WYS3" s="525"/>
      <c r="WYT3" s="525"/>
      <c r="WYU3" s="525"/>
      <c r="WYV3" s="525"/>
      <c r="WYW3" s="525"/>
      <c r="WYX3" s="525"/>
      <c r="WYY3" s="525"/>
      <c r="WYZ3" s="525"/>
      <c r="WZA3" s="525"/>
      <c r="WZB3" s="525"/>
      <c r="WZC3" s="525"/>
      <c r="WZD3" s="525"/>
      <c r="WZE3" s="525"/>
      <c r="WZF3" s="525"/>
      <c r="WZG3" s="525"/>
      <c r="WZH3" s="525"/>
      <c r="WZI3" s="525"/>
      <c r="WZJ3" s="525"/>
      <c r="WZK3" s="525"/>
      <c r="WZL3" s="525"/>
      <c r="WZM3" s="525"/>
      <c r="WZN3" s="525"/>
      <c r="WZO3" s="525"/>
      <c r="WZP3" s="525"/>
      <c r="WZQ3" s="525"/>
      <c r="WZR3" s="525"/>
      <c r="WZS3" s="525"/>
      <c r="WZT3" s="525"/>
      <c r="WZU3" s="525"/>
      <c r="WZV3" s="525"/>
      <c r="WZW3" s="525"/>
      <c r="WZX3" s="525"/>
      <c r="WZY3" s="525"/>
      <c r="WZZ3" s="525"/>
      <c r="XAA3" s="525"/>
      <c r="XAB3" s="525"/>
      <c r="XAC3" s="525"/>
      <c r="XAD3" s="525"/>
      <c r="XAE3" s="525"/>
      <c r="XAF3" s="525"/>
      <c r="XAG3" s="525"/>
      <c r="XAH3" s="525"/>
      <c r="XAI3" s="525"/>
      <c r="XAJ3" s="525"/>
      <c r="XAK3" s="525"/>
      <c r="XAL3" s="525"/>
      <c r="XAM3" s="525"/>
      <c r="XAN3" s="525"/>
      <c r="XAO3" s="525"/>
      <c r="XAP3" s="525"/>
      <c r="XAQ3" s="525"/>
      <c r="XAR3" s="525"/>
      <c r="XAS3" s="525"/>
      <c r="XAT3" s="525"/>
      <c r="XAU3" s="525"/>
      <c r="XAV3" s="525"/>
      <c r="XAW3" s="525"/>
      <c r="XAX3" s="525"/>
      <c r="XAY3" s="525"/>
      <c r="XAZ3" s="525"/>
      <c r="XBA3" s="525"/>
      <c r="XBB3" s="525"/>
      <c r="XBC3" s="525"/>
      <c r="XBD3" s="525"/>
      <c r="XBE3" s="525"/>
      <c r="XBF3" s="525"/>
      <c r="XBG3" s="525"/>
      <c r="XBH3" s="525"/>
      <c r="XBI3" s="525"/>
      <c r="XBJ3" s="525"/>
      <c r="XBK3" s="525"/>
      <c r="XBL3" s="525"/>
      <c r="XBM3" s="525"/>
      <c r="XBN3" s="525"/>
      <c r="XBO3" s="525"/>
      <c r="XBP3" s="525"/>
      <c r="XBQ3" s="525"/>
      <c r="XBR3" s="525"/>
      <c r="XBS3" s="525"/>
      <c r="XBT3" s="525"/>
      <c r="XBU3" s="525"/>
      <c r="XBV3" s="525"/>
      <c r="XBW3" s="525"/>
      <c r="XBX3" s="525"/>
      <c r="XBY3" s="525"/>
      <c r="XBZ3" s="525"/>
      <c r="XCA3" s="525"/>
      <c r="XCB3" s="525"/>
      <c r="XCC3" s="525"/>
      <c r="XCD3" s="525"/>
      <c r="XCE3" s="525"/>
      <c r="XCF3" s="525"/>
      <c r="XCG3" s="525"/>
      <c r="XCH3" s="525"/>
      <c r="XCI3" s="525"/>
      <c r="XCJ3" s="525"/>
      <c r="XCK3" s="525"/>
      <c r="XCL3" s="525"/>
      <c r="XCM3" s="525"/>
      <c r="XCN3" s="525"/>
      <c r="XCO3" s="525"/>
      <c r="XCP3" s="525"/>
      <c r="XCQ3" s="525"/>
      <c r="XCR3" s="525"/>
      <c r="XCS3" s="525"/>
      <c r="XCT3" s="525"/>
      <c r="XCU3" s="525"/>
      <c r="XCV3" s="525"/>
      <c r="XCW3" s="525"/>
      <c r="XCX3" s="525"/>
      <c r="XCY3" s="525"/>
      <c r="XCZ3" s="525"/>
      <c r="XDA3" s="525"/>
      <c r="XDB3" s="525"/>
      <c r="XDC3" s="525"/>
      <c r="XDD3" s="525"/>
      <c r="XDE3" s="525"/>
      <c r="XDF3" s="525"/>
      <c r="XDG3" s="525"/>
      <c r="XDH3" s="525"/>
      <c r="XDI3" s="525"/>
      <c r="XDJ3" s="525"/>
      <c r="XDK3" s="525"/>
      <c r="XDL3" s="525"/>
      <c r="XDM3" s="525"/>
      <c r="XDN3" s="525"/>
      <c r="XDO3" s="525"/>
      <c r="XDP3" s="525"/>
      <c r="XDQ3" s="525"/>
      <c r="XDR3" s="525"/>
      <c r="XDS3" s="525"/>
      <c r="XDT3" s="525"/>
      <c r="XDU3" s="525"/>
      <c r="XDV3" s="525"/>
      <c r="XDW3" s="525"/>
      <c r="XDX3" s="525"/>
      <c r="XDY3" s="525"/>
      <c r="XDZ3" s="525"/>
      <c r="XEA3" s="525"/>
      <c r="XEB3" s="525"/>
      <c r="XEC3" s="525"/>
      <c r="XED3" s="525"/>
      <c r="XEE3" s="525"/>
      <c r="XEF3" s="525"/>
      <c r="XEG3" s="525"/>
      <c r="XEH3" s="525"/>
      <c r="XEI3" s="525"/>
      <c r="XEJ3" s="525"/>
      <c r="XEK3" s="525"/>
      <c r="XEL3" s="525"/>
      <c r="XEM3" s="525"/>
      <c r="XEN3" s="525"/>
      <c r="XEO3" s="525"/>
      <c r="XEP3" s="525"/>
      <c r="XEQ3" s="525"/>
      <c r="XER3" s="525"/>
      <c r="XES3" s="525"/>
      <c r="XET3" s="525"/>
      <c r="XEU3" s="525"/>
      <c r="XEV3" s="525"/>
      <c r="XEW3" s="525"/>
      <c r="XEX3" s="525"/>
      <c r="XEY3" s="525"/>
      <c r="XEZ3" s="525"/>
    </row>
    <row r="4" spans="1:16380" s="89" customFormat="1" ht="15">
      <c r="A4" s="87"/>
      <c r="B4" s="198"/>
      <c r="C4" s="198"/>
      <c r="F4" s="87"/>
      <c r="G4" s="87"/>
      <c r="H4" s="87"/>
      <c r="I4" s="87"/>
      <c r="J4" s="90"/>
      <c r="K4" s="90"/>
      <c r="L4" s="90"/>
      <c r="M4" s="90"/>
      <c r="N4" s="90"/>
      <c r="O4" s="90"/>
      <c r="P4" s="90"/>
      <c r="Q4" s="90"/>
      <c r="R4" s="91"/>
      <c r="S4" s="91"/>
      <c r="T4" s="91"/>
      <c r="U4" s="91"/>
      <c r="V4" s="91"/>
      <c r="W4" s="91"/>
      <c r="Y4" s="91"/>
      <c r="AA4" s="92"/>
      <c r="AB4" s="92"/>
      <c r="AC4" s="92"/>
    </row>
    <row r="5" spans="1:16380" s="96" customFormat="1" ht="16">
      <c r="A5" s="93"/>
      <c r="B5" s="199" t="s">
        <v>641</v>
      </c>
      <c r="C5" s="199"/>
      <c r="D5" s="94"/>
      <c r="E5" s="94"/>
      <c r="F5" s="94"/>
      <c r="G5" s="94"/>
      <c r="H5" s="94"/>
      <c r="I5" s="94"/>
      <c r="J5" s="94"/>
      <c r="K5" s="94"/>
      <c r="L5" s="94"/>
      <c r="M5" s="94"/>
      <c r="N5" s="94"/>
      <c r="O5" s="94"/>
      <c r="P5" s="94"/>
      <c r="Q5" s="94"/>
      <c r="R5" s="95"/>
      <c r="S5" s="95"/>
      <c r="T5" s="94" t="s">
        <v>642</v>
      </c>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c r="EM5" s="94"/>
      <c r="EN5" s="94"/>
      <c r="EO5" s="94"/>
      <c r="EP5" s="94"/>
      <c r="EQ5" s="94"/>
      <c r="ER5" s="94"/>
      <c r="ES5" s="94"/>
      <c r="ET5" s="94"/>
      <c r="EU5" s="94"/>
      <c r="EV5" s="94"/>
      <c r="EW5" s="94"/>
      <c r="EX5" s="94"/>
      <c r="EY5" s="94"/>
      <c r="EZ5" s="94"/>
      <c r="FA5" s="94"/>
      <c r="FB5" s="94"/>
      <c r="FC5" s="94"/>
      <c r="FD5" s="94"/>
      <c r="FE5" s="94"/>
      <c r="FF5" s="94"/>
      <c r="FG5" s="94"/>
      <c r="FH5" s="94"/>
      <c r="FI5" s="94"/>
      <c r="FJ5" s="94"/>
      <c r="FK5" s="94"/>
      <c r="FL5" s="94"/>
      <c r="FM5" s="94"/>
      <c r="FN5" s="94"/>
      <c r="FO5" s="94"/>
      <c r="FP5" s="94"/>
      <c r="FQ5" s="94"/>
      <c r="FR5" s="94"/>
      <c r="FS5" s="94"/>
      <c r="FT5" s="94"/>
      <c r="FU5" s="94"/>
      <c r="FV5" s="94"/>
      <c r="FW5" s="94"/>
      <c r="FX5" s="94"/>
      <c r="FY5" s="94"/>
      <c r="FZ5" s="94"/>
      <c r="GA5" s="94"/>
      <c r="GB5" s="94"/>
      <c r="GC5" s="94"/>
      <c r="GD5" s="94"/>
      <c r="GE5" s="94"/>
      <c r="GF5" s="94"/>
      <c r="GG5" s="94"/>
      <c r="GH5" s="94"/>
      <c r="GI5" s="94"/>
      <c r="GJ5" s="94"/>
      <c r="GK5" s="94"/>
      <c r="GL5" s="94"/>
      <c r="GM5" s="94"/>
      <c r="GN5" s="94"/>
      <c r="GO5" s="94"/>
      <c r="GP5" s="94"/>
      <c r="GQ5" s="94"/>
      <c r="GR5" s="94"/>
      <c r="GS5" s="94"/>
      <c r="GT5" s="94"/>
      <c r="GU5" s="94"/>
      <c r="GV5" s="94"/>
      <c r="GW5" s="94"/>
      <c r="GX5" s="94"/>
      <c r="GY5" s="94"/>
      <c r="GZ5" s="94"/>
      <c r="HA5" s="94"/>
      <c r="HB5" s="94"/>
      <c r="HC5" s="94"/>
      <c r="HD5" s="94"/>
      <c r="HE5" s="94"/>
      <c r="HF5" s="94"/>
      <c r="HG5" s="94"/>
      <c r="HH5" s="94"/>
      <c r="HI5" s="94"/>
      <c r="HJ5" s="94"/>
      <c r="HK5" s="94"/>
      <c r="HL5" s="94"/>
      <c r="HM5" s="94"/>
      <c r="HN5" s="94"/>
      <c r="HO5" s="94"/>
      <c r="HP5" s="94"/>
      <c r="HQ5" s="94"/>
      <c r="HR5" s="94"/>
      <c r="HS5" s="94"/>
      <c r="HT5" s="94"/>
      <c r="HU5" s="94"/>
      <c r="HV5" s="94"/>
      <c r="HW5" s="94"/>
      <c r="HX5" s="94"/>
      <c r="HY5" s="94"/>
      <c r="HZ5" s="94"/>
      <c r="IA5" s="94"/>
      <c r="IB5" s="94"/>
      <c r="IC5" s="94"/>
      <c r="ID5" s="94"/>
      <c r="IE5" s="94"/>
      <c r="IF5" s="94"/>
      <c r="IG5" s="94"/>
      <c r="IH5" s="94"/>
      <c r="II5" s="94"/>
      <c r="IJ5" s="94"/>
      <c r="IK5" s="94"/>
      <c r="IL5" s="94"/>
      <c r="IM5" s="94"/>
      <c r="IN5" s="94"/>
      <c r="IO5" s="94"/>
      <c r="IP5" s="94"/>
      <c r="IQ5" s="94"/>
      <c r="IR5" s="94"/>
      <c r="IS5" s="94"/>
      <c r="IT5" s="94"/>
      <c r="IU5" s="94"/>
      <c r="IV5" s="94"/>
      <c r="IW5" s="94"/>
      <c r="IX5" s="94"/>
      <c r="IY5" s="94"/>
      <c r="IZ5" s="94"/>
      <c r="JA5" s="94"/>
      <c r="JB5" s="94"/>
      <c r="JC5" s="94"/>
      <c r="JD5" s="94"/>
      <c r="JE5" s="94"/>
      <c r="JF5" s="94"/>
      <c r="JG5" s="94"/>
      <c r="JH5" s="94"/>
      <c r="JI5" s="94"/>
      <c r="JJ5" s="94"/>
      <c r="JK5" s="94"/>
      <c r="JL5" s="94"/>
      <c r="JM5" s="94"/>
      <c r="JN5" s="94"/>
      <c r="JO5" s="94"/>
      <c r="JP5" s="94"/>
      <c r="JQ5" s="94"/>
      <c r="JR5" s="94"/>
      <c r="JS5" s="94"/>
      <c r="JT5" s="94"/>
      <c r="JU5" s="94"/>
      <c r="JV5" s="94"/>
      <c r="JW5" s="94"/>
      <c r="JX5" s="94"/>
      <c r="JY5" s="94"/>
      <c r="JZ5" s="94"/>
      <c r="KA5" s="94"/>
      <c r="KB5" s="94"/>
      <c r="KC5" s="94"/>
      <c r="KD5" s="94"/>
      <c r="KE5" s="94"/>
      <c r="KF5" s="94"/>
      <c r="KG5" s="94"/>
      <c r="KH5" s="94"/>
      <c r="KI5" s="94"/>
      <c r="KJ5" s="94"/>
      <c r="KK5" s="94"/>
      <c r="KL5" s="94"/>
      <c r="KM5" s="94"/>
      <c r="KN5" s="94"/>
      <c r="KO5" s="94"/>
      <c r="KP5" s="94"/>
      <c r="KQ5" s="94"/>
      <c r="KR5" s="94"/>
      <c r="KS5" s="94"/>
      <c r="KT5" s="94"/>
      <c r="KU5" s="94"/>
      <c r="KV5" s="94"/>
      <c r="KW5" s="94"/>
      <c r="KX5" s="94"/>
      <c r="KY5" s="94"/>
      <c r="KZ5" s="94"/>
      <c r="LA5" s="94"/>
      <c r="LB5" s="94"/>
      <c r="LC5" s="94"/>
      <c r="LD5" s="94"/>
      <c r="LE5" s="94"/>
      <c r="LF5" s="94"/>
      <c r="LG5" s="94"/>
      <c r="LH5" s="94"/>
      <c r="LI5" s="94"/>
      <c r="LJ5" s="94"/>
      <c r="LK5" s="94"/>
      <c r="LL5" s="94"/>
      <c r="LM5" s="94"/>
      <c r="LN5" s="94"/>
      <c r="LO5" s="94"/>
      <c r="LP5" s="94"/>
      <c r="LQ5" s="94"/>
      <c r="LR5" s="94"/>
      <c r="LS5" s="94"/>
      <c r="LT5" s="94"/>
      <c r="LU5" s="94"/>
      <c r="LV5" s="94"/>
      <c r="LW5" s="94"/>
      <c r="LX5" s="94"/>
      <c r="LY5" s="94"/>
      <c r="LZ5" s="94"/>
      <c r="MA5" s="94"/>
      <c r="MB5" s="94"/>
      <c r="MC5" s="94"/>
      <c r="MD5" s="94"/>
      <c r="ME5" s="94"/>
      <c r="MF5" s="94"/>
      <c r="MG5" s="94"/>
      <c r="MH5" s="94"/>
      <c r="MI5" s="94"/>
      <c r="MJ5" s="94"/>
      <c r="MK5" s="94"/>
      <c r="ML5" s="94"/>
      <c r="MM5" s="94"/>
      <c r="MN5" s="94"/>
      <c r="MO5" s="94"/>
      <c r="MP5" s="94"/>
      <c r="MQ5" s="94"/>
      <c r="MR5" s="94"/>
      <c r="MS5" s="94"/>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c r="SJ5" s="94"/>
      <c r="SK5" s="94"/>
      <c r="SL5" s="94"/>
      <c r="SM5" s="94"/>
      <c r="SN5" s="94"/>
      <c r="SO5" s="94"/>
      <c r="SP5" s="94"/>
      <c r="SQ5" s="94"/>
      <c r="SR5" s="94"/>
      <c r="SS5" s="94"/>
      <c r="ST5" s="94"/>
      <c r="SU5" s="94"/>
      <c r="SV5" s="94"/>
      <c r="SW5" s="94"/>
      <c r="SX5" s="94"/>
      <c r="SY5" s="94"/>
      <c r="SZ5" s="94"/>
      <c r="TA5" s="94"/>
      <c r="TB5" s="94"/>
      <c r="TC5" s="94"/>
      <c r="TD5" s="94"/>
      <c r="TE5" s="94"/>
      <c r="TF5" s="94"/>
      <c r="TG5" s="94"/>
      <c r="TH5" s="94"/>
      <c r="TI5" s="94"/>
      <c r="TJ5" s="94"/>
      <c r="TK5" s="94"/>
      <c r="TL5" s="94"/>
      <c r="TM5" s="94"/>
      <c r="TN5" s="94"/>
      <c r="TO5" s="94"/>
      <c r="TP5" s="94"/>
      <c r="TQ5" s="94"/>
      <c r="TR5" s="94"/>
      <c r="TS5" s="94"/>
      <c r="TT5" s="94"/>
      <c r="TU5" s="94"/>
      <c r="TV5" s="94"/>
      <c r="TW5" s="94"/>
      <c r="TX5" s="94"/>
      <c r="TY5" s="94"/>
      <c r="TZ5" s="94"/>
      <c r="UA5" s="94"/>
      <c r="UB5" s="94"/>
      <c r="UC5" s="94"/>
      <c r="UD5" s="94"/>
      <c r="UE5" s="94"/>
      <c r="UF5" s="94"/>
      <c r="UG5" s="94"/>
      <c r="UH5" s="94"/>
      <c r="UI5" s="94"/>
      <c r="UJ5" s="94"/>
      <c r="UK5" s="94"/>
      <c r="UL5" s="94"/>
      <c r="UM5" s="94"/>
      <c r="UN5" s="94"/>
      <c r="UO5" s="94"/>
      <c r="UP5" s="94"/>
      <c r="UQ5" s="94"/>
      <c r="UR5" s="94"/>
      <c r="US5" s="94"/>
      <c r="UT5" s="94"/>
      <c r="UU5" s="94"/>
      <c r="UV5" s="94"/>
      <c r="UW5" s="94"/>
      <c r="UX5" s="94"/>
      <c r="UY5" s="94"/>
      <c r="UZ5" s="94"/>
      <c r="VA5" s="94"/>
      <c r="VB5" s="94"/>
      <c r="VC5" s="94"/>
      <c r="VD5" s="94"/>
      <c r="VE5" s="94"/>
      <c r="VF5" s="94"/>
      <c r="VG5" s="94"/>
      <c r="VH5" s="94"/>
      <c r="VI5" s="94"/>
      <c r="VJ5" s="94"/>
      <c r="VK5" s="94"/>
      <c r="VL5" s="94"/>
      <c r="VM5" s="94"/>
      <c r="VN5" s="94"/>
      <c r="VO5" s="94"/>
      <c r="VP5" s="94"/>
      <c r="VQ5" s="94"/>
      <c r="VR5" s="94"/>
      <c r="VS5" s="94"/>
      <c r="VT5" s="94"/>
      <c r="VU5" s="94"/>
      <c r="VV5" s="94"/>
      <c r="VW5" s="94"/>
      <c r="VX5" s="94"/>
      <c r="VY5" s="94"/>
      <c r="VZ5" s="94"/>
      <c r="WA5" s="94"/>
      <c r="WB5" s="94"/>
      <c r="WC5" s="94"/>
      <c r="WD5" s="94"/>
      <c r="WE5" s="94"/>
      <c r="WF5" s="94"/>
      <c r="WG5" s="94"/>
      <c r="WH5" s="94"/>
      <c r="WI5" s="94"/>
      <c r="WJ5" s="94"/>
      <c r="WK5" s="94"/>
      <c r="WL5" s="94"/>
      <c r="WM5" s="94"/>
      <c r="WN5" s="94"/>
      <c r="WO5" s="94"/>
      <c r="WP5" s="94"/>
      <c r="WQ5" s="94"/>
      <c r="WR5" s="94"/>
      <c r="WS5" s="94"/>
      <c r="WT5" s="94"/>
      <c r="WU5" s="94"/>
      <c r="WV5" s="94"/>
      <c r="WW5" s="94"/>
      <c r="WX5" s="94"/>
      <c r="WY5" s="94"/>
      <c r="WZ5" s="94"/>
      <c r="XA5" s="94"/>
      <c r="XB5" s="94"/>
      <c r="XC5" s="94"/>
      <c r="XD5" s="94"/>
      <c r="XE5" s="94"/>
      <c r="XF5" s="94"/>
      <c r="XG5" s="94"/>
      <c r="XH5" s="94"/>
      <c r="XI5" s="94"/>
      <c r="XJ5" s="94"/>
      <c r="XK5" s="94"/>
      <c r="XL5" s="94"/>
      <c r="XM5" s="94"/>
      <c r="XN5" s="94"/>
      <c r="XO5" s="94"/>
      <c r="XP5" s="94"/>
      <c r="XQ5" s="94"/>
      <c r="XR5" s="94"/>
      <c r="XS5" s="94"/>
      <c r="XT5" s="94"/>
      <c r="XU5" s="94"/>
      <c r="XV5" s="94"/>
      <c r="XW5" s="94"/>
      <c r="XX5" s="94"/>
      <c r="XY5" s="94"/>
      <c r="XZ5" s="94"/>
      <c r="YA5" s="94"/>
      <c r="YB5" s="94"/>
      <c r="YC5" s="94"/>
      <c r="YD5" s="94"/>
      <c r="YE5" s="94"/>
      <c r="YF5" s="94"/>
      <c r="YG5" s="94"/>
      <c r="YH5" s="94"/>
      <c r="YI5" s="94"/>
      <c r="YJ5" s="94"/>
      <c r="YK5" s="94"/>
      <c r="YL5" s="94"/>
      <c r="YM5" s="94"/>
      <c r="YN5" s="94"/>
      <c r="YO5" s="94"/>
      <c r="YP5" s="94"/>
      <c r="YQ5" s="94"/>
      <c r="YR5" s="94"/>
      <c r="YS5" s="94"/>
      <c r="YT5" s="94"/>
      <c r="YU5" s="94"/>
      <c r="YV5" s="94"/>
      <c r="YW5" s="94"/>
      <c r="YX5" s="94"/>
      <c r="YY5" s="94"/>
      <c r="YZ5" s="94"/>
      <c r="ZA5" s="94"/>
      <c r="ZB5" s="94"/>
      <c r="ZC5" s="94"/>
      <c r="ZD5" s="94"/>
      <c r="ZE5" s="94"/>
      <c r="ZF5" s="94"/>
      <c r="ZG5" s="94"/>
      <c r="ZH5" s="94"/>
      <c r="ZI5" s="94"/>
      <c r="ZJ5" s="94"/>
      <c r="ZK5" s="94"/>
      <c r="ZL5" s="94"/>
      <c r="ZM5" s="94"/>
      <c r="ZN5" s="94"/>
      <c r="ZO5" s="94"/>
      <c r="ZP5" s="94"/>
      <c r="ZQ5" s="94"/>
      <c r="ZR5" s="94"/>
      <c r="ZS5" s="94"/>
      <c r="ZT5" s="94"/>
      <c r="ZU5" s="94"/>
      <c r="ZV5" s="94"/>
      <c r="ZW5" s="94"/>
      <c r="ZX5" s="94"/>
      <c r="ZY5" s="94"/>
      <c r="ZZ5" s="94"/>
      <c r="AAA5" s="94"/>
      <c r="AAB5" s="94"/>
      <c r="AAC5" s="94"/>
      <c r="AAD5" s="94"/>
      <c r="AAE5" s="94"/>
      <c r="AAF5" s="94"/>
      <c r="AAG5" s="94"/>
      <c r="AAH5" s="94"/>
      <c r="AAI5" s="94"/>
      <c r="AAJ5" s="94"/>
      <c r="AAK5" s="94"/>
      <c r="AAL5" s="94"/>
      <c r="AAM5" s="94"/>
      <c r="AAN5" s="94"/>
      <c r="AAO5" s="94"/>
      <c r="AAP5" s="94"/>
      <c r="AAQ5" s="94"/>
      <c r="AAR5" s="94"/>
      <c r="AAS5" s="94"/>
      <c r="AAT5" s="94"/>
      <c r="AAU5" s="94"/>
      <c r="AAV5" s="94"/>
      <c r="AAW5" s="94"/>
      <c r="AAX5" s="94"/>
      <c r="AAY5" s="94"/>
      <c r="AAZ5" s="94"/>
      <c r="ABA5" s="94"/>
      <c r="ABB5" s="94"/>
      <c r="ABC5" s="94"/>
      <c r="ABD5" s="94"/>
      <c r="ABE5" s="94"/>
      <c r="ABF5" s="94"/>
      <c r="ABG5" s="94"/>
      <c r="ABH5" s="94"/>
      <c r="ABI5" s="94"/>
      <c r="ABJ5" s="94"/>
      <c r="ABK5" s="94"/>
      <c r="ABL5" s="94"/>
      <c r="ABM5" s="94"/>
      <c r="ABN5" s="94"/>
      <c r="ABO5" s="94"/>
      <c r="ABP5" s="94"/>
      <c r="ABQ5" s="94"/>
      <c r="ABR5" s="94"/>
      <c r="ABS5" s="94"/>
      <c r="ABT5" s="94"/>
      <c r="ABU5" s="94"/>
      <c r="ABV5" s="94"/>
      <c r="ABW5" s="94"/>
      <c r="ABX5" s="94"/>
      <c r="ABY5" s="94"/>
      <c r="ABZ5" s="94"/>
      <c r="ACA5" s="94"/>
      <c r="ACB5" s="94"/>
      <c r="ACC5" s="94"/>
      <c r="ACD5" s="94"/>
      <c r="ACE5" s="94"/>
      <c r="ACF5" s="94"/>
      <c r="ACG5" s="94"/>
      <c r="ACH5" s="94"/>
      <c r="ACI5" s="94"/>
      <c r="ACJ5" s="94"/>
      <c r="ACK5" s="94"/>
      <c r="ACL5" s="94"/>
      <c r="ACM5" s="94"/>
      <c r="ACN5" s="94"/>
      <c r="ACO5" s="94"/>
      <c r="ACP5" s="94"/>
      <c r="ACQ5" s="94"/>
      <c r="ACR5" s="94"/>
      <c r="ACS5" s="94"/>
      <c r="ACT5" s="94"/>
      <c r="ACU5" s="94"/>
      <c r="ACV5" s="94"/>
      <c r="ACW5" s="94"/>
      <c r="ACX5" s="94"/>
      <c r="ACY5" s="94"/>
      <c r="ACZ5" s="94"/>
      <c r="ADA5" s="94"/>
      <c r="ADB5" s="94"/>
      <c r="ADC5" s="94"/>
      <c r="ADD5" s="94"/>
      <c r="ADE5" s="94"/>
      <c r="ADF5" s="94"/>
      <c r="ADG5" s="94"/>
      <c r="ADH5" s="94"/>
      <c r="ADI5" s="94"/>
      <c r="ADJ5" s="94"/>
      <c r="ADK5" s="94"/>
      <c r="ADL5" s="94"/>
      <c r="ADM5" s="94"/>
      <c r="ADN5" s="94"/>
      <c r="ADO5" s="94"/>
      <c r="ADP5" s="94"/>
      <c r="ADQ5" s="94"/>
      <c r="ADR5" s="94"/>
      <c r="ADS5" s="94"/>
      <c r="ADT5" s="94"/>
      <c r="ADU5" s="94"/>
      <c r="ADV5" s="94"/>
      <c r="ADW5" s="94"/>
      <c r="ADX5" s="94"/>
      <c r="ADY5" s="94"/>
      <c r="ADZ5" s="94"/>
      <c r="AEA5" s="94"/>
      <c r="AEB5" s="94"/>
      <c r="AEC5" s="94"/>
      <c r="AED5" s="94"/>
      <c r="AEE5" s="94"/>
      <c r="AEF5" s="94"/>
      <c r="AEG5" s="94"/>
      <c r="AEH5" s="94"/>
      <c r="AEI5" s="94"/>
      <c r="AEJ5" s="94"/>
      <c r="AEK5" s="94"/>
      <c r="AEL5" s="94"/>
      <c r="AEM5" s="94"/>
      <c r="AEN5" s="94"/>
      <c r="AEO5" s="94"/>
      <c r="AEP5" s="94"/>
      <c r="AEQ5" s="94"/>
      <c r="AER5" s="94"/>
      <c r="AES5" s="94"/>
      <c r="AET5" s="94"/>
      <c r="AEU5" s="94"/>
      <c r="AEV5" s="94"/>
      <c r="AEW5" s="94"/>
      <c r="AEX5" s="94"/>
      <c r="AEY5" s="94"/>
      <c r="AEZ5" s="94"/>
      <c r="AFA5" s="94"/>
      <c r="AFB5" s="94"/>
      <c r="AFC5" s="94"/>
      <c r="AFD5" s="94"/>
      <c r="AFE5" s="94"/>
      <c r="AFF5" s="94"/>
      <c r="AFG5" s="94"/>
      <c r="AFH5" s="94"/>
      <c r="AFI5" s="94"/>
      <c r="AFJ5" s="94"/>
      <c r="AFK5" s="94"/>
      <c r="AFL5" s="94"/>
      <c r="AFM5" s="94"/>
      <c r="AFN5" s="94"/>
      <c r="AFO5" s="94"/>
      <c r="AFP5" s="94"/>
      <c r="AFQ5" s="94"/>
      <c r="AFR5" s="94"/>
      <c r="AFS5" s="94"/>
      <c r="AFT5" s="94"/>
      <c r="AFU5" s="94"/>
      <c r="AFV5" s="94"/>
      <c r="AFW5" s="94"/>
      <c r="AFX5" s="94"/>
      <c r="AFY5" s="94"/>
      <c r="AFZ5" s="94"/>
      <c r="AGA5" s="94"/>
      <c r="AGB5" s="94"/>
      <c r="AGC5" s="94"/>
      <c r="AGD5" s="94"/>
      <c r="AGE5" s="94"/>
      <c r="AGF5" s="94"/>
      <c r="AGG5" s="94"/>
      <c r="AGH5" s="94"/>
      <c r="AGI5" s="94"/>
      <c r="AGJ5" s="94"/>
      <c r="AGK5" s="94"/>
      <c r="AGL5" s="94"/>
      <c r="AGM5" s="94"/>
      <c r="AGN5" s="94"/>
      <c r="AGO5" s="94"/>
      <c r="AGP5" s="94"/>
      <c r="AGQ5" s="94"/>
      <c r="AGR5" s="94"/>
      <c r="AGS5" s="94"/>
      <c r="AGT5" s="94"/>
      <c r="AGU5" s="94"/>
      <c r="AGV5" s="94"/>
      <c r="AGW5" s="94"/>
      <c r="AGX5" s="94"/>
      <c r="AGY5" s="94"/>
      <c r="AGZ5" s="94"/>
      <c r="AHA5" s="94"/>
      <c r="AHB5" s="94"/>
      <c r="AHC5" s="94"/>
      <c r="AHD5" s="94"/>
      <c r="AHE5" s="94"/>
      <c r="AHF5" s="94"/>
      <c r="AHG5" s="94"/>
      <c r="AHH5" s="94"/>
      <c r="AHI5" s="94"/>
      <c r="AHJ5" s="94"/>
      <c r="AHK5" s="94"/>
      <c r="AHL5" s="94"/>
      <c r="AHM5" s="94"/>
      <c r="AHN5" s="94"/>
      <c r="AHO5" s="94"/>
      <c r="AHP5" s="94"/>
      <c r="AHQ5" s="94"/>
      <c r="AHR5" s="94"/>
      <c r="AHS5" s="94"/>
      <c r="AHT5" s="94"/>
      <c r="AHU5" s="94"/>
      <c r="AHV5" s="94"/>
      <c r="AHW5" s="94"/>
      <c r="AHX5" s="94"/>
      <c r="AHY5" s="94"/>
      <c r="AHZ5" s="94"/>
      <c r="AIA5" s="94"/>
      <c r="AIB5" s="94"/>
      <c r="AIC5" s="94"/>
      <c r="AID5" s="94"/>
      <c r="AIE5" s="94"/>
      <c r="AIF5" s="94"/>
      <c r="AIG5" s="94"/>
      <c r="AIH5" s="94"/>
      <c r="AII5" s="94"/>
      <c r="AIJ5" s="94"/>
      <c r="AIK5" s="94"/>
      <c r="AIL5" s="94"/>
      <c r="AIM5" s="94"/>
      <c r="AIN5" s="94"/>
      <c r="AIO5" s="94"/>
      <c r="AIP5" s="94"/>
      <c r="AIQ5" s="94"/>
      <c r="AIR5" s="94"/>
      <c r="AIS5" s="94"/>
      <c r="AIT5" s="94"/>
      <c r="AIU5" s="94"/>
      <c r="AIV5" s="94"/>
      <c r="AIW5" s="94"/>
      <c r="AIX5" s="94"/>
      <c r="AIY5" s="94"/>
      <c r="AIZ5" s="94"/>
      <c r="AJA5" s="94"/>
      <c r="AJB5" s="94"/>
      <c r="AJC5" s="94"/>
      <c r="AJD5" s="94"/>
      <c r="AJE5" s="94"/>
      <c r="AJF5" s="94"/>
      <c r="AJG5" s="94"/>
      <c r="AJH5" s="94"/>
      <c r="AJI5" s="94"/>
      <c r="AJJ5" s="94"/>
      <c r="AJK5" s="94"/>
      <c r="AJL5" s="94"/>
      <c r="AJM5" s="94"/>
      <c r="AJN5" s="94"/>
      <c r="AJO5" s="94"/>
      <c r="AJP5" s="94"/>
      <c r="AJQ5" s="94"/>
      <c r="AJR5" s="94"/>
      <c r="AJS5" s="94"/>
      <c r="AJT5" s="94"/>
      <c r="AJU5" s="94"/>
      <c r="AJV5" s="94"/>
      <c r="AJW5" s="94"/>
      <c r="AJX5" s="94"/>
      <c r="AJY5" s="94"/>
      <c r="AJZ5" s="94"/>
      <c r="AKA5" s="94"/>
      <c r="AKB5" s="94"/>
      <c r="AKC5" s="94"/>
      <c r="AKD5" s="94"/>
      <c r="AKE5" s="94"/>
      <c r="AKF5" s="94"/>
      <c r="AKG5" s="94"/>
      <c r="AKH5" s="94"/>
      <c r="AKI5" s="94"/>
      <c r="AKJ5" s="94"/>
      <c r="AKK5" s="94"/>
      <c r="AKL5" s="94"/>
      <c r="AKM5" s="94"/>
      <c r="AKN5" s="94"/>
      <c r="AKO5" s="94"/>
      <c r="AKP5" s="94"/>
      <c r="AKQ5" s="94"/>
      <c r="AKR5" s="94"/>
      <c r="AKS5" s="94"/>
      <c r="AKT5" s="94"/>
      <c r="AKU5" s="94"/>
      <c r="AKV5" s="94"/>
      <c r="AKW5" s="94"/>
      <c r="AKX5" s="94"/>
      <c r="AKY5" s="94"/>
      <c r="AKZ5" s="94"/>
      <c r="ALA5" s="94"/>
      <c r="ALB5" s="94"/>
      <c r="ALC5" s="94"/>
      <c r="ALD5" s="94"/>
      <c r="ALE5" s="94"/>
      <c r="ALF5" s="94"/>
      <c r="ALG5" s="94"/>
      <c r="ALH5" s="94"/>
      <c r="ALI5" s="94"/>
      <c r="ALJ5" s="94"/>
      <c r="ALK5" s="94"/>
      <c r="ALL5" s="94"/>
      <c r="ALM5" s="94"/>
      <c r="ALN5" s="94"/>
      <c r="ALO5" s="94"/>
      <c r="ALP5" s="94"/>
      <c r="ALQ5" s="94"/>
      <c r="ALR5" s="94"/>
      <c r="ALS5" s="94"/>
      <c r="ALT5" s="94"/>
      <c r="ALU5" s="94"/>
      <c r="ALV5" s="94"/>
      <c r="ALW5" s="94"/>
      <c r="ALX5" s="94"/>
      <c r="ALY5" s="94"/>
      <c r="ALZ5" s="94"/>
      <c r="AMA5" s="94"/>
      <c r="AMB5" s="94"/>
      <c r="AMC5" s="94"/>
      <c r="AMD5" s="94"/>
      <c r="AME5" s="94"/>
      <c r="AMF5" s="94"/>
      <c r="AMG5" s="94"/>
      <c r="AMH5" s="94"/>
      <c r="AMI5" s="94"/>
      <c r="AMJ5" s="94"/>
      <c r="AMK5" s="94"/>
      <c r="AML5" s="94"/>
      <c r="AMM5" s="94"/>
      <c r="AMN5" s="94"/>
      <c r="AMO5" s="94"/>
      <c r="AMP5" s="94"/>
      <c r="AMQ5" s="94"/>
      <c r="AMR5" s="94"/>
      <c r="AMS5" s="94"/>
      <c r="AMT5" s="94"/>
      <c r="AMU5" s="94"/>
      <c r="AMV5" s="94"/>
      <c r="AMW5" s="94"/>
      <c r="AMX5" s="94"/>
      <c r="AMY5" s="94"/>
      <c r="AMZ5" s="94"/>
      <c r="ANA5" s="94"/>
      <c r="ANB5" s="94"/>
      <c r="ANC5" s="94"/>
      <c r="AND5" s="94"/>
      <c r="ANE5" s="94"/>
      <c r="ANF5" s="94"/>
      <c r="ANG5" s="94"/>
      <c r="ANH5" s="94"/>
      <c r="ANI5" s="94"/>
      <c r="ANJ5" s="94"/>
      <c r="ANK5" s="94"/>
      <c r="ANL5" s="94"/>
      <c r="ANM5" s="94"/>
      <c r="ANN5" s="94"/>
      <c r="ANO5" s="94"/>
      <c r="ANP5" s="94"/>
      <c r="ANQ5" s="94"/>
      <c r="ANR5" s="94"/>
      <c r="ANS5" s="94"/>
      <c r="ANT5" s="94"/>
      <c r="ANU5" s="94"/>
      <c r="ANV5" s="94"/>
      <c r="ANW5" s="94"/>
      <c r="ANX5" s="94"/>
      <c r="ANY5" s="94"/>
      <c r="ANZ5" s="94"/>
      <c r="AOA5" s="94"/>
      <c r="AOB5" s="94"/>
      <c r="AOC5" s="94"/>
      <c r="AOD5" s="94"/>
      <c r="AOE5" s="94"/>
      <c r="AOF5" s="94"/>
      <c r="AOG5" s="94"/>
      <c r="AOH5" s="94"/>
      <c r="AOI5" s="94"/>
      <c r="AOJ5" s="94"/>
      <c r="AOK5" s="94"/>
      <c r="AOL5" s="94"/>
      <c r="AOM5" s="94"/>
      <c r="AON5" s="94"/>
      <c r="AOO5" s="94"/>
      <c r="AOP5" s="94"/>
      <c r="AOQ5" s="94"/>
      <c r="AOR5" s="94"/>
      <c r="AOS5" s="94"/>
      <c r="AOT5" s="94"/>
      <c r="AOU5" s="94"/>
      <c r="AOV5" s="94"/>
      <c r="AOW5" s="94"/>
      <c r="AOX5" s="94"/>
      <c r="AOY5" s="94"/>
      <c r="AOZ5" s="94"/>
      <c r="APA5" s="94"/>
      <c r="APB5" s="94"/>
      <c r="APC5" s="94"/>
      <c r="APD5" s="94"/>
      <c r="APE5" s="94"/>
      <c r="APF5" s="94"/>
      <c r="APG5" s="94"/>
      <c r="APH5" s="94"/>
      <c r="API5" s="94"/>
      <c r="APJ5" s="94"/>
      <c r="APK5" s="94"/>
      <c r="APL5" s="94"/>
      <c r="APM5" s="94"/>
      <c r="APN5" s="94"/>
      <c r="APO5" s="94"/>
      <c r="APP5" s="94"/>
      <c r="APQ5" s="94"/>
      <c r="APR5" s="94"/>
      <c r="APS5" s="94"/>
      <c r="APT5" s="94"/>
      <c r="APU5" s="94"/>
      <c r="APV5" s="94"/>
      <c r="APW5" s="94"/>
      <c r="APX5" s="94"/>
      <c r="APY5" s="94"/>
      <c r="APZ5" s="94"/>
      <c r="AQA5" s="94"/>
      <c r="AQB5" s="94"/>
      <c r="AQC5" s="94"/>
      <c r="AQD5" s="94"/>
      <c r="AQE5" s="94"/>
      <c r="AQF5" s="94"/>
      <c r="AQG5" s="94"/>
      <c r="AQH5" s="94"/>
      <c r="AQI5" s="94"/>
      <c r="AQJ5" s="94"/>
      <c r="AQK5" s="94"/>
      <c r="AQL5" s="94"/>
      <c r="AQM5" s="94"/>
      <c r="AQN5" s="94"/>
      <c r="AQO5" s="94"/>
      <c r="AQP5" s="94"/>
      <c r="AQQ5" s="94"/>
      <c r="AQR5" s="94"/>
      <c r="AQS5" s="94"/>
      <c r="AQT5" s="94"/>
      <c r="AQU5" s="94"/>
      <c r="AQV5" s="94"/>
      <c r="AQW5" s="94"/>
      <c r="AQX5" s="94"/>
      <c r="AQY5" s="94"/>
      <c r="AQZ5" s="94"/>
      <c r="ARA5" s="94"/>
      <c r="ARB5" s="94"/>
      <c r="ARC5" s="94"/>
      <c r="ARD5" s="94"/>
      <c r="ARE5" s="94"/>
      <c r="ARF5" s="94"/>
      <c r="ARG5" s="94"/>
      <c r="ARH5" s="94"/>
      <c r="ARI5" s="94"/>
      <c r="ARJ5" s="94"/>
      <c r="ARK5" s="94"/>
      <c r="ARL5" s="94"/>
      <c r="ARM5" s="94"/>
      <c r="ARN5" s="94"/>
      <c r="ARO5" s="94"/>
      <c r="ARP5" s="94"/>
      <c r="ARQ5" s="94"/>
      <c r="ARR5" s="94"/>
      <c r="ARS5" s="94"/>
      <c r="ART5" s="94"/>
      <c r="ARU5" s="94"/>
      <c r="ARV5" s="94"/>
      <c r="ARW5" s="94"/>
      <c r="ARX5" s="94"/>
      <c r="ARY5" s="94"/>
      <c r="ARZ5" s="94"/>
      <c r="ASA5" s="94"/>
      <c r="ASB5" s="94"/>
      <c r="ASC5" s="94"/>
      <c r="ASD5" s="94"/>
      <c r="ASE5" s="94"/>
      <c r="ASF5" s="94"/>
      <c r="ASG5" s="94"/>
      <c r="ASH5" s="94"/>
      <c r="ASI5" s="94"/>
      <c r="ASJ5" s="94"/>
      <c r="ASK5" s="94"/>
      <c r="ASL5" s="94"/>
      <c r="ASM5" s="94"/>
      <c r="ASN5" s="94"/>
      <c r="ASO5" s="94"/>
      <c r="ASP5" s="94"/>
      <c r="ASQ5" s="94"/>
      <c r="ASR5" s="94"/>
      <c r="ASS5" s="94"/>
      <c r="AST5" s="94"/>
      <c r="ASU5" s="94"/>
      <c r="ASV5" s="94"/>
      <c r="ASW5" s="94"/>
      <c r="ASX5" s="94"/>
      <c r="ASY5" s="94"/>
      <c r="ASZ5" s="94"/>
      <c r="ATA5" s="94"/>
      <c r="ATB5" s="94"/>
      <c r="ATC5" s="94"/>
      <c r="ATD5" s="94"/>
      <c r="ATE5" s="94"/>
      <c r="ATF5" s="94"/>
      <c r="ATG5" s="94"/>
      <c r="ATH5" s="94"/>
      <c r="ATI5" s="94"/>
      <c r="ATJ5" s="94"/>
      <c r="ATK5" s="94"/>
      <c r="ATL5" s="94"/>
      <c r="ATM5" s="94"/>
      <c r="ATN5" s="94"/>
      <c r="ATO5" s="94"/>
      <c r="ATP5" s="94"/>
      <c r="ATQ5" s="94"/>
      <c r="ATR5" s="94"/>
      <c r="ATS5" s="94"/>
      <c r="ATT5" s="94"/>
      <c r="ATU5" s="94"/>
      <c r="ATV5" s="94"/>
      <c r="ATW5" s="94"/>
      <c r="ATX5" s="94"/>
      <c r="ATY5" s="94"/>
      <c r="ATZ5" s="94"/>
      <c r="AUA5" s="94"/>
      <c r="AUB5" s="94"/>
      <c r="AUC5" s="94"/>
      <c r="AUD5" s="94"/>
      <c r="AUE5" s="94"/>
      <c r="AUF5" s="94"/>
      <c r="AUG5" s="94"/>
      <c r="AUH5" s="94"/>
      <c r="AUI5" s="94"/>
      <c r="AUJ5" s="94"/>
      <c r="AUK5" s="94"/>
      <c r="AUL5" s="94"/>
      <c r="AUM5" s="94"/>
      <c r="AUN5" s="94"/>
      <c r="AUO5" s="94"/>
      <c r="AUP5" s="94"/>
      <c r="AUQ5" s="94"/>
      <c r="AUR5" s="94"/>
      <c r="AUS5" s="94"/>
      <c r="AUT5" s="94"/>
      <c r="AUU5" s="94"/>
      <c r="AUV5" s="94"/>
      <c r="AUW5" s="94"/>
      <c r="AUX5" s="94"/>
      <c r="AUY5" s="94"/>
      <c r="AUZ5" s="94"/>
      <c r="AVA5" s="94"/>
      <c r="AVB5" s="94"/>
      <c r="AVC5" s="94"/>
      <c r="AVD5" s="94"/>
      <c r="AVE5" s="94"/>
      <c r="AVF5" s="94"/>
      <c r="AVG5" s="94"/>
      <c r="AVH5" s="94"/>
      <c r="AVI5" s="94"/>
      <c r="AVJ5" s="94"/>
      <c r="AVK5" s="94"/>
      <c r="AVL5" s="94"/>
      <c r="AVM5" s="94"/>
      <c r="AVN5" s="94"/>
      <c r="AVO5" s="94"/>
      <c r="AVP5" s="94"/>
      <c r="AVQ5" s="94"/>
      <c r="AVR5" s="94"/>
      <c r="AVS5" s="94"/>
      <c r="AVT5" s="94"/>
      <c r="AVU5" s="94"/>
      <c r="AVV5" s="94"/>
      <c r="AVW5" s="94"/>
      <c r="AVX5" s="94"/>
      <c r="AVY5" s="94"/>
      <c r="AVZ5" s="94"/>
      <c r="AWA5" s="94"/>
      <c r="AWB5" s="94"/>
      <c r="AWC5" s="94"/>
      <c r="AWD5" s="94"/>
      <c r="AWE5" s="94"/>
      <c r="AWF5" s="94"/>
      <c r="AWG5" s="94"/>
      <c r="AWH5" s="94"/>
      <c r="AWI5" s="94"/>
      <c r="AWJ5" s="94"/>
      <c r="AWK5" s="94"/>
      <c r="AWL5" s="94"/>
      <c r="AWM5" s="94"/>
      <c r="AWN5" s="94"/>
      <c r="AWO5" s="94"/>
      <c r="AWP5" s="94"/>
      <c r="AWQ5" s="94"/>
      <c r="AWR5" s="94"/>
      <c r="AWS5" s="94"/>
      <c r="AWT5" s="94"/>
      <c r="AWU5" s="94"/>
      <c r="AWV5" s="94"/>
      <c r="AWW5" s="94"/>
      <c r="AWX5" s="94"/>
      <c r="AWY5" s="94"/>
      <c r="AWZ5" s="94"/>
      <c r="AXA5" s="94"/>
      <c r="AXB5" s="94"/>
      <c r="AXC5" s="94"/>
      <c r="AXD5" s="94"/>
      <c r="AXE5" s="94"/>
      <c r="AXF5" s="94"/>
      <c r="AXG5" s="94"/>
      <c r="AXH5" s="94"/>
      <c r="AXI5" s="94"/>
      <c r="AXJ5" s="94"/>
      <c r="AXK5" s="94"/>
      <c r="AXL5" s="94"/>
      <c r="AXM5" s="94"/>
      <c r="AXN5" s="94"/>
      <c r="AXO5" s="94"/>
      <c r="AXP5" s="94"/>
      <c r="AXQ5" s="94"/>
      <c r="AXR5" s="94"/>
      <c r="AXS5" s="94"/>
      <c r="AXT5" s="94"/>
      <c r="AXU5" s="94"/>
      <c r="AXV5" s="94"/>
      <c r="AXW5" s="94"/>
      <c r="AXX5" s="94"/>
      <c r="AXY5" s="94"/>
      <c r="AXZ5" s="94"/>
      <c r="AYA5" s="94"/>
      <c r="AYB5" s="94"/>
      <c r="AYC5" s="94"/>
      <c r="AYD5" s="94"/>
      <c r="AYE5" s="94"/>
      <c r="AYF5" s="94"/>
      <c r="AYG5" s="94"/>
      <c r="AYH5" s="94"/>
      <c r="AYI5" s="94"/>
      <c r="AYJ5" s="94"/>
      <c r="AYK5" s="94"/>
      <c r="AYL5" s="94"/>
      <c r="AYM5" s="94"/>
      <c r="AYN5" s="94"/>
      <c r="AYO5" s="94"/>
      <c r="AYP5" s="94"/>
      <c r="AYQ5" s="94"/>
      <c r="AYR5" s="94"/>
      <c r="AYS5" s="94"/>
      <c r="AYT5" s="94"/>
      <c r="AYU5" s="94"/>
      <c r="AYV5" s="94"/>
      <c r="AYW5" s="94"/>
      <c r="AYX5" s="94"/>
      <c r="AYY5" s="94"/>
      <c r="AYZ5" s="94"/>
      <c r="AZA5" s="94"/>
      <c r="AZB5" s="94"/>
      <c r="AZC5" s="94"/>
      <c r="AZD5" s="94"/>
      <c r="AZE5" s="94"/>
      <c r="AZF5" s="94"/>
      <c r="AZG5" s="94"/>
      <c r="AZH5" s="94"/>
      <c r="AZI5" s="94"/>
      <c r="AZJ5" s="94"/>
      <c r="AZK5" s="94"/>
      <c r="AZL5" s="94"/>
      <c r="AZM5" s="94"/>
      <c r="AZN5" s="94"/>
      <c r="AZO5" s="94"/>
      <c r="AZP5" s="94"/>
      <c r="AZQ5" s="94"/>
      <c r="AZR5" s="94"/>
      <c r="AZS5" s="94"/>
      <c r="AZT5" s="94"/>
      <c r="AZU5" s="94"/>
      <c r="AZV5" s="94"/>
      <c r="AZW5" s="94"/>
      <c r="AZX5" s="94"/>
      <c r="AZY5" s="94"/>
      <c r="AZZ5" s="94"/>
      <c r="BAA5" s="94"/>
      <c r="BAB5" s="94"/>
      <c r="BAC5" s="94"/>
      <c r="BAD5" s="94"/>
      <c r="BAE5" s="94"/>
      <c r="BAF5" s="94"/>
      <c r="BAG5" s="94"/>
      <c r="BAH5" s="94"/>
      <c r="BAI5" s="94"/>
      <c r="BAJ5" s="94"/>
      <c r="BAK5" s="94"/>
      <c r="BAL5" s="94"/>
      <c r="BAM5" s="94"/>
      <c r="BAN5" s="94"/>
      <c r="BAO5" s="94"/>
      <c r="BAP5" s="94"/>
      <c r="BAQ5" s="94"/>
      <c r="BAR5" s="94"/>
      <c r="BAS5" s="94"/>
      <c r="BAT5" s="94"/>
      <c r="BAU5" s="94"/>
      <c r="BAV5" s="94"/>
      <c r="BAW5" s="94"/>
      <c r="BAX5" s="94"/>
      <c r="BAY5" s="94"/>
      <c r="BAZ5" s="94"/>
      <c r="BBA5" s="94"/>
      <c r="BBB5" s="94"/>
      <c r="BBC5" s="94"/>
      <c r="BBD5" s="94"/>
      <c r="BBE5" s="94"/>
      <c r="BBF5" s="94"/>
      <c r="BBG5" s="94"/>
      <c r="BBH5" s="94"/>
      <c r="BBI5" s="94"/>
      <c r="BBJ5" s="94"/>
      <c r="BBK5" s="94"/>
      <c r="BBL5" s="94"/>
      <c r="BBM5" s="94"/>
      <c r="BBN5" s="94"/>
      <c r="BBO5" s="94"/>
      <c r="BBP5" s="94"/>
      <c r="BBQ5" s="94"/>
      <c r="BBR5" s="94"/>
      <c r="BBS5" s="94"/>
      <c r="BBT5" s="94"/>
      <c r="BBU5" s="94"/>
      <c r="BBV5" s="94"/>
      <c r="BBW5" s="94"/>
      <c r="BBX5" s="94"/>
      <c r="BBY5" s="94"/>
      <c r="BBZ5" s="94"/>
      <c r="BCA5" s="94"/>
      <c r="BCB5" s="94"/>
      <c r="BCC5" s="94"/>
      <c r="BCD5" s="94"/>
      <c r="BCE5" s="94"/>
      <c r="BCF5" s="94"/>
      <c r="BCG5" s="94"/>
      <c r="BCH5" s="94"/>
      <c r="BCI5" s="94"/>
      <c r="BCJ5" s="94"/>
      <c r="BCK5" s="94"/>
      <c r="BCL5" s="94"/>
      <c r="BCM5" s="94"/>
      <c r="BCN5" s="94"/>
      <c r="BCO5" s="94"/>
      <c r="BCP5" s="94"/>
      <c r="BCQ5" s="94"/>
      <c r="BCR5" s="94"/>
      <c r="BCS5" s="94"/>
      <c r="BCT5" s="94"/>
      <c r="BCU5" s="94"/>
      <c r="BCV5" s="94"/>
      <c r="BCW5" s="94"/>
      <c r="BCX5" s="94"/>
      <c r="BCY5" s="94"/>
      <c r="BCZ5" s="94"/>
      <c r="BDA5" s="94"/>
      <c r="BDB5" s="94"/>
      <c r="BDC5" s="94"/>
      <c r="BDD5" s="94"/>
      <c r="BDE5" s="94"/>
      <c r="BDF5" s="94"/>
      <c r="BDG5" s="94"/>
      <c r="BDH5" s="94"/>
      <c r="BDI5" s="94"/>
      <c r="BDJ5" s="94"/>
      <c r="BDK5" s="94"/>
      <c r="BDL5" s="94"/>
      <c r="BDM5" s="94"/>
      <c r="BDN5" s="94"/>
      <c r="BDO5" s="94"/>
      <c r="BDP5" s="94"/>
      <c r="BDQ5" s="94"/>
      <c r="BDR5" s="94"/>
      <c r="BDS5" s="94"/>
      <c r="BDT5" s="94"/>
      <c r="BDU5" s="94"/>
      <c r="BDV5" s="94"/>
      <c r="BDW5" s="94"/>
      <c r="BDX5" s="94"/>
      <c r="BDY5" s="94"/>
      <c r="BDZ5" s="94"/>
      <c r="BEA5" s="94"/>
      <c r="BEB5" s="94"/>
      <c r="BEC5" s="94"/>
      <c r="BED5" s="94"/>
      <c r="BEE5" s="94"/>
      <c r="BEF5" s="94"/>
      <c r="BEG5" s="94"/>
      <c r="BEH5" s="94"/>
      <c r="BEI5" s="94"/>
      <c r="BEJ5" s="94"/>
      <c r="BEK5" s="94"/>
      <c r="BEL5" s="94"/>
      <c r="BEM5" s="94"/>
      <c r="BEN5" s="94"/>
      <c r="BEO5" s="94"/>
      <c r="BEP5" s="94"/>
      <c r="BEQ5" s="94"/>
      <c r="BER5" s="94"/>
      <c r="BES5" s="94"/>
      <c r="BET5" s="94"/>
      <c r="BEU5" s="94"/>
      <c r="BEV5" s="94"/>
      <c r="BEW5" s="94"/>
      <c r="BEX5" s="94"/>
      <c r="BEY5" s="94"/>
      <c r="BEZ5" s="94"/>
      <c r="BFA5" s="94"/>
      <c r="BFB5" s="94"/>
      <c r="BFC5" s="94"/>
      <c r="BFD5" s="94"/>
      <c r="BFE5" s="94"/>
      <c r="BFF5" s="94"/>
      <c r="BFG5" s="94"/>
      <c r="BFH5" s="94"/>
      <c r="BFI5" s="94"/>
      <c r="BFJ5" s="94"/>
      <c r="BFK5" s="94"/>
      <c r="BFL5" s="94"/>
      <c r="BFM5" s="94"/>
      <c r="BFN5" s="94"/>
      <c r="BFO5" s="94"/>
      <c r="BFP5" s="94"/>
      <c r="BFQ5" s="94"/>
      <c r="BFR5" s="94"/>
      <c r="BFS5" s="94"/>
      <c r="BFT5" s="94"/>
      <c r="BFU5" s="94"/>
      <c r="BFV5" s="94"/>
      <c r="BFW5" s="94"/>
      <c r="BFX5" s="94"/>
      <c r="BFY5" s="94"/>
      <c r="BFZ5" s="94"/>
      <c r="BGA5" s="94"/>
      <c r="BGB5" s="94"/>
      <c r="BGC5" s="94"/>
      <c r="BGD5" s="94"/>
      <c r="BGE5" s="94"/>
      <c r="BGF5" s="94"/>
      <c r="BGG5" s="94"/>
      <c r="BGH5" s="94"/>
      <c r="BGI5" s="94"/>
      <c r="BGJ5" s="94"/>
      <c r="BGK5" s="94"/>
      <c r="BGL5" s="94"/>
      <c r="BGM5" s="94"/>
      <c r="BGN5" s="94"/>
      <c r="BGO5" s="94"/>
      <c r="BGP5" s="94"/>
      <c r="BGQ5" s="94"/>
      <c r="BGR5" s="94"/>
      <c r="BGS5" s="94"/>
      <c r="BGT5" s="94"/>
      <c r="BGU5" s="94"/>
      <c r="BGV5" s="94"/>
      <c r="BGW5" s="94"/>
      <c r="BGX5" s="94"/>
      <c r="BGY5" s="94"/>
      <c r="BGZ5" s="94"/>
      <c r="BHA5" s="94"/>
      <c r="BHB5" s="94"/>
      <c r="BHC5" s="94"/>
      <c r="BHD5" s="94"/>
      <c r="BHE5" s="94"/>
      <c r="BHF5" s="94"/>
      <c r="BHG5" s="94"/>
      <c r="BHH5" s="94"/>
      <c r="BHI5" s="94"/>
      <c r="BHJ5" s="94"/>
      <c r="BHK5" s="94"/>
      <c r="BHL5" s="94"/>
      <c r="BHM5" s="94"/>
      <c r="BHN5" s="94"/>
      <c r="BHO5" s="94"/>
      <c r="BHP5" s="94"/>
      <c r="BHQ5" s="94"/>
      <c r="BHR5" s="94"/>
      <c r="BHS5" s="94"/>
      <c r="BHT5" s="94"/>
      <c r="BHU5" s="94"/>
      <c r="BHV5" s="94"/>
      <c r="BHW5" s="94"/>
      <c r="BHX5" s="94"/>
      <c r="BHY5" s="94"/>
      <c r="BHZ5" s="94"/>
      <c r="BIA5" s="94"/>
      <c r="BIB5" s="94"/>
      <c r="BIC5" s="94"/>
      <c r="BID5" s="94"/>
      <c r="BIE5" s="94"/>
      <c r="BIF5" s="94"/>
      <c r="BIG5" s="94"/>
      <c r="BIH5" s="94"/>
      <c r="BII5" s="94"/>
      <c r="BIJ5" s="94"/>
      <c r="BIK5" s="94"/>
      <c r="BIL5" s="94"/>
      <c r="BIM5" s="94"/>
      <c r="BIN5" s="94"/>
      <c r="BIO5" s="94"/>
      <c r="BIP5" s="94"/>
      <c r="BIQ5" s="94"/>
      <c r="BIR5" s="94"/>
      <c r="BIS5" s="94"/>
      <c r="BIT5" s="94"/>
      <c r="BIU5" s="94"/>
      <c r="BIV5" s="94"/>
      <c r="BIW5" s="94"/>
      <c r="BIX5" s="94"/>
      <c r="BIY5" s="94"/>
      <c r="BIZ5" s="94"/>
      <c r="BJA5" s="94"/>
      <c r="BJB5" s="94"/>
      <c r="BJC5" s="94"/>
      <c r="BJD5" s="94"/>
      <c r="BJE5" s="94"/>
      <c r="BJF5" s="94"/>
      <c r="BJG5" s="94"/>
      <c r="BJH5" s="94"/>
      <c r="BJI5" s="94"/>
      <c r="BJJ5" s="94"/>
      <c r="BJK5" s="94"/>
      <c r="BJL5" s="94"/>
      <c r="BJM5" s="94"/>
      <c r="BJN5" s="94"/>
      <c r="BJO5" s="94"/>
      <c r="BJP5" s="94"/>
      <c r="BJQ5" s="94"/>
      <c r="BJR5" s="94"/>
      <c r="BJS5" s="94"/>
      <c r="BJT5" s="94"/>
      <c r="BJU5" s="94"/>
      <c r="BJV5" s="94"/>
      <c r="BJW5" s="94"/>
      <c r="BJX5" s="94"/>
      <c r="BJY5" s="94"/>
      <c r="BJZ5" s="94"/>
      <c r="BKA5" s="94"/>
      <c r="BKB5" s="94"/>
      <c r="BKC5" s="94"/>
      <c r="BKD5" s="94"/>
      <c r="BKE5" s="94"/>
      <c r="BKF5" s="94"/>
      <c r="BKG5" s="94"/>
      <c r="BKH5" s="94"/>
      <c r="BKI5" s="94"/>
      <c r="BKJ5" s="94"/>
      <c r="BKK5" s="94"/>
      <c r="BKL5" s="94"/>
      <c r="BKM5" s="94"/>
      <c r="BKN5" s="94"/>
      <c r="BKO5" s="94"/>
      <c r="BKP5" s="94"/>
      <c r="BKQ5" s="94"/>
      <c r="BKR5" s="94"/>
      <c r="BKS5" s="94"/>
      <c r="BKT5" s="94"/>
      <c r="BKU5" s="94"/>
      <c r="BKV5" s="94"/>
      <c r="BKW5" s="94"/>
      <c r="BKX5" s="94"/>
      <c r="BKY5" s="94"/>
      <c r="BKZ5" s="94"/>
      <c r="BLA5" s="94"/>
      <c r="BLB5" s="94"/>
      <c r="BLC5" s="94"/>
      <c r="BLD5" s="94"/>
      <c r="BLE5" s="94"/>
      <c r="BLF5" s="94"/>
      <c r="BLG5" s="94"/>
      <c r="BLH5" s="94"/>
      <c r="BLI5" s="94"/>
      <c r="BLJ5" s="94"/>
      <c r="BLK5" s="94"/>
      <c r="BLL5" s="94"/>
      <c r="BLM5" s="94"/>
      <c r="BLN5" s="94"/>
      <c r="BLO5" s="94"/>
      <c r="BLP5" s="94"/>
      <c r="BLQ5" s="94"/>
      <c r="BLR5" s="94"/>
      <c r="BLS5" s="94"/>
      <c r="BLT5" s="94"/>
      <c r="BLU5" s="94"/>
      <c r="BLV5" s="94"/>
      <c r="BLW5" s="94"/>
      <c r="BLX5" s="94"/>
      <c r="BLY5" s="94"/>
      <c r="BLZ5" s="94"/>
      <c r="BMA5" s="94"/>
      <c r="BMB5" s="94"/>
      <c r="BMC5" s="94"/>
      <c r="BMD5" s="94"/>
      <c r="BME5" s="94"/>
      <c r="BMF5" s="94"/>
      <c r="BMG5" s="94"/>
      <c r="BMH5" s="94"/>
      <c r="BMI5" s="94"/>
      <c r="BMJ5" s="94"/>
      <c r="BMK5" s="94"/>
      <c r="BML5" s="94"/>
      <c r="BMM5" s="94"/>
      <c r="BMN5" s="94"/>
      <c r="BMO5" s="94"/>
      <c r="BMP5" s="94"/>
      <c r="BMQ5" s="94"/>
      <c r="BMR5" s="94"/>
      <c r="BMS5" s="94"/>
      <c r="BMT5" s="94"/>
      <c r="BMU5" s="94"/>
      <c r="BMV5" s="94"/>
      <c r="BMW5" s="94"/>
      <c r="BMX5" s="94"/>
      <c r="BMY5" s="94"/>
      <c r="BMZ5" s="94"/>
      <c r="BNA5" s="94"/>
      <c r="BNB5" s="94"/>
      <c r="BNC5" s="94"/>
      <c r="BND5" s="94"/>
      <c r="BNE5" s="94"/>
      <c r="BNF5" s="94"/>
      <c r="BNG5" s="94"/>
      <c r="BNH5" s="94"/>
      <c r="BNI5" s="94"/>
      <c r="BNJ5" s="94"/>
      <c r="BNK5" s="94"/>
      <c r="BNL5" s="94"/>
      <c r="BNM5" s="94"/>
      <c r="BNN5" s="94"/>
      <c r="BNO5" s="94"/>
      <c r="BNP5" s="94"/>
      <c r="BNQ5" s="94"/>
      <c r="BNR5" s="94"/>
      <c r="BNS5" s="94"/>
      <c r="BNT5" s="94"/>
      <c r="BNU5" s="94"/>
      <c r="BNV5" s="94"/>
      <c r="BNW5" s="94"/>
      <c r="BNX5" s="94"/>
      <c r="BNY5" s="94"/>
      <c r="BNZ5" s="94"/>
      <c r="BOA5" s="94"/>
      <c r="BOB5" s="94"/>
      <c r="BOC5" s="94"/>
      <c r="BOD5" s="94"/>
      <c r="BOE5" s="94"/>
      <c r="BOF5" s="94"/>
      <c r="BOG5" s="94"/>
      <c r="BOH5" s="94"/>
      <c r="BOI5" s="94"/>
      <c r="BOJ5" s="94"/>
      <c r="BOK5" s="94"/>
      <c r="BOL5" s="94"/>
      <c r="BOM5" s="94"/>
      <c r="BON5" s="94"/>
      <c r="BOO5" s="94"/>
      <c r="BOP5" s="94"/>
      <c r="BOQ5" s="94"/>
      <c r="BOR5" s="94"/>
      <c r="BOS5" s="94"/>
      <c r="BOT5" s="94"/>
      <c r="BOU5" s="94"/>
      <c r="BOV5" s="94"/>
      <c r="BOW5" s="94"/>
      <c r="BOX5" s="94"/>
      <c r="BOY5" s="94"/>
      <c r="BOZ5" s="94"/>
      <c r="BPA5" s="94"/>
      <c r="BPB5" s="94"/>
      <c r="BPC5" s="94"/>
      <c r="BPD5" s="94"/>
      <c r="BPE5" s="94"/>
      <c r="BPF5" s="94"/>
      <c r="BPG5" s="94"/>
      <c r="BPH5" s="94"/>
      <c r="BPI5" s="94"/>
      <c r="BPJ5" s="94"/>
      <c r="BPK5" s="94"/>
      <c r="BPL5" s="94"/>
      <c r="BPM5" s="94"/>
      <c r="BPN5" s="94"/>
      <c r="BPO5" s="94"/>
      <c r="BPP5" s="94"/>
      <c r="BPQ5" s="94"/>
      <c r="BPR5" s="94"/>
      <c r="BPS5" s="94"/>
      <c r="BPT5" s="94"/>
      <c r="BPU5" s="94"/>
      <c r="BPV5" s="94"/>
      <c r="BPW5" s="94"/>
      <c r="BPX5" s="94"/>
      <c r="BPY5" s="94"/>
      <c r="BPZ5" s="94"/>
      <c r="BQA5" s="94"/>
      <c r="BQB5" s="94"/>
      <c r="BQC5" s="94"/>
      <c r="BQD5" s="94"/>
      <c r="BQE5" s="94"/>
      <c r="BQF5" s="94"/>
      <c r="BQG5" s="94"/>
      <c r="BQH5" s="94"/>
      <c r="BQI5" s="94"/>
      <c r="BQJ5" s="94"/>
      <c r="BQK5" s="94"/>
      <c r="BQL5" s="94"/>
      <c r="BQM5" s="94"/>
      <c r="BQN5" s="94"/>
      <c r="BQO5" s="94"/>
      <c r="BQP5" s="94"/>
      <c r="BQQ5" s="94"/>
      <c r="BQR5" s="94"/>
      <c r="BQS5" s="94"/>
      <c r="BQT5" s="94"/>
      <c r="BQU5" s="94"/>
      <c r="BQV5" s="94"/>
      <c r="BQW5" s="94"/>
      <c r="BQX5" s="94"/>
      <c r="BQY5" s="94"/>
      <c r="BQZ5" s="94"/>
      <c r="BRA5" s="94"/>
      <c r="BRB5" s="94"/>
      <c r="BRC5" s="94"/>
      <c r="BRD5" s="94"/>
      <c r="BRE5" s="94"/>
      <c r="BRF5" s="94"/>
      <c r="BRG5" s="94"/>
      <c r="BRH5" s="94"/>
      <c r="BRI5" s="94"/>
      <c r="BRJ5" s="94"/>
      <c r="BRK5" s="94"/>
      <c r="BRL5" s="94"/>
      <c r="BRM5" s="94"/>
      <c r="BRN5" s="94"/>
      <c r="BRO5" s="94"/>
      <c r="BRP5" s="94"/>
      <c r="BRQ5" s="94"/>
      <c r="BRR5" s="94"/>
      <c r="BRS5" s="94"/>
      <c r="BRT5" s="94"/>
      <c r="BRU5" s="94"/>
      <c r="BRV5" s="94"/>
      <c r="BRW5" s="94"/>
      <c r="BRX5" s="94"/>
      <c r="BRY5" s="94"/>
      <c r="BRZ5" s="94"/>
      <c r="BSA5" s="94"/>
      <c r="BSB5" s="94"/>
      <c r="BSC5" s="94"/>
      <c r="BSD5" s="94"/>
      <c r="BSE5" s="94"/>
      <c r="BSF5" s="94"/>
      <c r="BSG5" s="94"/>
      <c r="BSH5" s="94"/>
      <c r="BSI5" s="94"/>
      <c r="BSJ5" s="94"/>
      <c r="BSK5" s="94"/>
      <c r="BSL5" s="94"/>
      <c r="BSM5" s="94"/>
      <c r="BSN5" s="94"/>
      <c r="BSO5" s="94"/>
      <c r="BSP5" s="94"/>
      <c r="BSQ5" s="94"/>
      <c r="BSR5" s="94"/>
      <c r="BSS5" s="94"/>
      <c r="BST5" s="94"/>
      <c r="BSU5" s="94"/>
      <c r="BSV5" s="94"/>
      <c r="BSW5" s="94"/>
      <c r="BSX5" s="94"/>
      <c r="BSY5" s="94"/>
      <c r="BSZ5" s="94"/>
      <c r="BTA5" s="94"/>
      <c r="BTB5" s="94"/>
      <c r="BTC5" s="94"/>
      <c r="BTD5" s="94"/>
      <c r="BTE5" s="94"/>
      <c r="BTF5" s="94"/>
      <c r="BTG5" s="94"/>
      <c r="BTH5" s="94"/>
      <c r="BTI5" s="94"/>
      <c r="BTJ5" s="94"/>
      <c r="BTK5" s="94"/>
      <c r="BTL5" s="94"/>
      <c r="BTM5" s="94"/>
      <c r="BTN5" s="94"/>
      <c r="BTO5" s="94"/>
      <c r="BTP5" s="94"/>
      <c r="BTQ5" s="94"/>
      <c r="BTR5" s="94"/>
      <c r="BTS5" s="94"/>
      <c r="BTT5" s="94"/>
      <c r="BTU5" s="94"/>
      <c r="BTV5" s="94"/>
      <c r="BTW5" s="94"/>
      <c r="BTX5" s="94"/>
      <c r="BTY5" s="94"/>
      <c r="BTZ5" s="94"/>
      <c r="BUA5" s="94"/>
      <c r="BUB5" s="94"/>
      <c r="BUC5" s="94"/>
      <c r="BUD5" s="94"/>
      <c r="BUE5" s="94"/>
      <c r="BUF5" s="94"/>
      <c r="BUG5" s="94"/>
      <c r="BUH5" s="94"/>
      <c r="BUI5" s="94"/>
      <c r="BUJ5" s="94"/>
      <c r="BUK5" s="94"/>
      <c r="BUL5" s="94"/>
      <c r="BUM5" s="94"/>
      <c r="BUN5" s="94"/>
      <c r="BUO5" s="94"/>
      <c r="BUP5" s="94"/>
      <c r="BUQ5" s="94"/>
      <c r="BUR5" s="94"/>
      <c r="BUS5" s="94"/>
      <c r="BUT5" s="94"/>
      <c r="BUU5" s="94"/>
      <c r="BUV5" s="94"/>
      <c r="BUW5" s="94"/>
      <c r="BUX5" s="94"/>
      <c r="BUY5" s="94"/>
      <c r="BUZ5" s="94"/>
      <c r="BVA5" s="94"/>
      <c r="BVB5" s="94"/>
      <c r="BVC5" s="94"/>
      <c r="BVD5" s="94"/>
      <c r="BVE5" s="94"/>
      <c r="BVF5" s="94"/>
      <c r="BVG5" s="94"/>
      <c r="BVH5" s="94"/>
      <c r="BVI5" s="94"/>
      <c r="BVJ5" s="94"/>
      <c r="BVK5" s="94"/>
      <c r="BVL5" s="94"/>
      <c r="BVM5" s="94"/>
      <c r="BVN5" s="94"/>
      <c r="BVO5" s="94"/>
      <c r="BVP5" s="94"/>
      <c r="BVQ5" s="94"/>
      <c r="BVR5" s="94"/>
      <c r="BVS5" s="94"/>
      <c r="BVT5" s="94"/>
      <c r="BVU5" s="94"/>
      <c r="BVV5" s="94"/>
      <c r="BVW5" s="94"/>
      <c r="BVX5" s="94"/>
      <c r="BVY5" s="94"/>
      <c r="BVZ5" s="94"/>
      <c r="BWA5" s="94"/>
      <c r="BWB5" s="94"/>
      <c r="BWC5" s="94"/>
      <c r="BWD5" s="94"/>
      <c r="BWE5" s="94"/>
      <c r="BWF5" s="94"/>
      <c r="BWG5" s="94"/>
      <c r="BWH5" s="94"/>
      <c r="BWI5" s="94"/>
      <c r="BWJ5" s="94"/>
      <c r="BWK5" s="94"/>
      <c r="BWL5" s="94"/>
      <c r="BWM5" s="94"/>
      <c r="BWN5" s="94"/>
      <c r="BWO5" s="94"/>
      <c r="BWP5" s="94"/>
      <c r="BWQ5" s="94"/>
      <c r="BWR5" s="94"/>
      <c r="BWS5" s="94"/>
      <c r="BWT5" s="94"/>
      <c r="BWU5" s="94"/>
      <c r="BWV5" s="94"/>
      <c r="BWW5" s="94"/>
      <c r="BWX5" s="94"/>
      <c r="BWY5" s="94"/>
      <c r="BWZ5" s="94"/>
      <c r="BXA5" s="94"/>
      <c r="BXB5" s="94"/>
      <c r="BXC5" s="94"/>
      <c r="BXD5" s="94"/>
      <c r="BXE5" s="94"/>
      <c r="BXF5" s="94"/>
      <c r="BXG5" s="94"/>
      <c r="BXH5" s="94"/>
      <c r="BXI5" s="94"/>
      <c r="BXJ5" s="94"/>
      <c r="BXK5" s="94"/>
      <c r="BXL5" s="94"/>
      <c r="BXM5" s="94"/>
      <c r="BXN5" s="94"/>
      <c r="BXO5" s="94"/>
      <c r="BXP5" s="94"/>
      <c r="BXQ5" s="94"/>
      <c r="BXR5" s="94"/>
      <c r="BXS5" s="94"/>
      <c r="BXT5" s="94"/>
      <c r="BXU5" s="94"/>
      <c r="BXV5" s="94"/>
      <c r="BXW5" s="94"/>
      <c r="BXX5" s="94"/>
      <c r="BXY5" s="94"/>
      <c r="BXZ5" s="94"/>
      <c r="BYA5" s="94"/>
      <c r="BYB5" s="94"/>
      <c r="BYC5" s="94"/>
      <c r="BYD5" s="94"/>
      <c r="BYE5" s="94"/>
      <c r="BYF5" s="94"/>
      <c r="BYG5" s="94"/>
      <c r="BYH5" s="94"/>
      <c r="BYI5" s="94"/>
      <c r="BYJ5" s="94"/>
      <c r="BYK5" s="94"/>
      <c r="BYL5" s="94"/>
      <c r="BYM5" s="94"/>
      <c r="BYN5" s="94"/>
      <c r="BYO5" s="94"/>
      <c r="BYP5" s="94"/>
      <c r="BYQ5" s="94"/>
      <c r="BYR5" s="94"/>
      <c r="BYS5" s="94"/>
      <c r="BYT5" s="94"/>
      <c r="BYU5" s="94"/>
      <c r="BYV5" s="94"/>
      <c r="BYW5" s="94"/>
      <c r="BYX5" s="94"/>
      <c r="BYY5" s="94"/>
      <c r="BYZ5" s="94"/>
      <c r="BZA5" s="94"/>
      <c r="BZB5" s="94"/>
      <c r="BZC5" s="94"/>
      <c r="BZD5" s="94"/>
      <c r="BZE5" s="94"/>
      <c r="BZF5" s="94"/>
      <c r="BZG5" s="94"/>
      <c r="BZH5" s="94"/>
      <c r="BZI5" s="94"/>
      <c r="BZJ5" s="94"/>
      <c r="BZK5" s="94"/>
      <c r="BZL5" s="94"/>
      <c r="BZM5" s="94"/>
      <c r="BZN5" s="94"/>
      <c r="BZO5" s="94"/>
      <c r="BZP5" s="94"/>
      <c r="BZQ5" s="94"/>
      <c r="BZR5" s="94"/>
      <c r="BZS5" s="94"/>
      <c r="BZT5" s="94"/>
      <c r="BZU5" s="94"/>
      <c r="BZV5" s="94"/>
      <c r="BZW5" s="94"/>
      <c r="BZX5" s="94"/>
      <c r="BZY5" s="94"/>
      <c r="BZZ5" s="94"/>
      <c r="CAA5" s="94"/>
      <c r="CAB5" s="94"/>
      <c r="CAC5" s="94"/>
      <c r="CAD5" s="94"/>
      <c r="CAE5" s="94"/>
      <c r="CAF5" s="94"/>
      <c r="CAG5" s="94"/>
      <c r="CAH5" s="94"/>
      <c r="CAI5" s="94"/>
      <c r="CAJ5" s="94"/>
      <c r="CAK5" s="94"/>
      <c r="CAL5" s="94"/>
      <c r="CAM5" s="94"/>
      <c r="CAN5" s="94"/>
      <c r="CAO5" s="94"/>
      <c r="CAP5" s="94"/>
      <c r="CAQ5" s="94"/>
      <c r="CAR5" s="94"/>
      <c r="CAS5" s="94"/>
      <c r="CAT5" s="94"/>
      <c r="CAU5" s="94"/>
      <c r="CAV5" s="94"/>
      <c r="CAW5" s="94"/>
      <c r="CAX5" s="94"/>
      <c r="CAY5" s="94"/>
      <c r="CAZ5" s="94"/>
      <c r="CBA5" s="94"/>
      <c r="CBB5" s="94"/>
      <c r="CBC5" s="94"/>
      <c r="CBD5" s="94"/>
      <c r="CBE5" s="94"/>
      <c r="CBF5" s="94"/>
      <c r="CBG5" s="94"/>
      <c r="CBH5" s="94"/>
      <c r="CBI5" s="94"/>
      <c r="CBJ5" s="94"/>
      <c r="CBK5" s="94"/>
      <c r="CBL5" s="94"/>
      <c r="CBM5" s="94"/>
      <c r="CBN5" s="94"/>
      <c r="CBO5" s="94"/>
      <c r="CBP5" s="94"/>
      <c r="CBQ5" s="94"/>
      <c r="CBR5" s="94"/>
      <c r="CBS5" s="94"/>
      <c r="CBT5" s="94"/>
      <c r="CBU5" s="94"/>
      <c r="CBV5" s="94"/>
      <c r="CBW5" s="94"/>
      <c r="CBX5" s="94"/>
      <c r="CBY5" s="94"/>
      <c r="CBZ5" s="94"/>
      <c r="CCA5" s="94"/>
      <c r="CCB5" s="94"/>
      <c r="CCC5" s="94"/>
      <c r="CCD5" s="94"/>
      <c r="CCE5" s="94"/>
      <c r="CCF5" s="94"/>
      <c r="CCG5" s="94"/>
      <c r="CCH5" s="94"/>
      <c r="CCI5" s="94"/>
      <c r="CCJ5" s="94"/>
      <c r="CCK5" s="94"/>
      <c r="CCL5" s="94"/>
      <c r="CCM5" s="94"/>
      <c r="CCN5" s="94"/>
      <c r="CCO5" s="94"/>
      <c r="CCP5" s="94"/>
      <c r="CCQ5" s="94"/>
      <c r="CCR5" s="94"/>
      <c r="CCS5" s="94"/>
      <c r="CCT5" s="94"/>
      <c r="CCU5" s="94"/>
      <c r="CCV5" s="94"/>
      <c r="CCW5" s="94"/>
      <c r="CCX5" s="94"/>
      <c r="CCY5" s="94"/>
      <c r="CCZ5" s="94"/>
      <c r="CDA5" s="94"/>
      <c r="CDB5" s="94"/>
      <c r="CDC5" s="94"/>
      <c r="CDD5" s="94"/>
      <c r="CDE5" s="94"/>
      <c r="CDF5" s="94"/>
      <c r="CDG5" s="94"/>
      <c r="CDH5" s="94"/>
      <c r="CDI5" s="94"/>
      <c r="CDJ5" s="94"/>
      <c r="CDK5" s="94"/>
      <c r="CDL5" s="94"/>
      <c r="CDM5" s="94"/>
      <c r="CDN5" s="94"/>
      <c r="CDO5" s="94"/>
      <c r="CDP5" s="94"/>
      <c r="CDQ5" s="94"/>
      <c r="CDR5" s="94"/>
      <c r="CDS5" s="94"/>
      <c r="CDT5" s="94"/>
      <c r="CDU5" s="94"/>
      <c r="CDV5" s="94"/>
      <c r="CDW5" s="94"/>
      <c r="CDX5" s="94"/>
      <c r="CDY5" s="94"/>
      <c r="CDZ5" s="94"/>
      <c r="CEA5" s="94"/>
      <c r="CEB5" s="94"/>
      <c r="CEC5" s="94"/>
      <c r="CED5" s="94"/>
      <c r="CEE5" s="94"/>
      <c r="CEF5" s="94"/>
      <c r="CEG5" s="94"/>
      <c r="CEH5" s="94"/>
      <c r="CEI5" s="94"/>
      <c r="CEJ5" s="94"/>
      <c r="CEK5" s="94"/>
      <c r="CEL5" s="94"/>
      <c r="CEM5" s="94"/>
      <c r="CEN5" s="94"/>
      <c r="CEO5" s="94"/>
      <c r="CEP5" s="94"/>
      <c r="CEQ5" s="94"/>
      <c r="CER5" s="94"/>
      <c r="CES5" s="94"/>
      <c r="CET5" s="94"/>
      <c r="CEU5" s="94"/>
      <c r="CEV5" s="94"/>
      <c r="CEW5" s="94"/>
      <c r="CEX5" s="94"/>
      <c r="CEY5" s="94"/>
      <c r="CEZ5" s="94"/>
      <c r="CFA5" s="94"/>
      <c r="CFB5" s="94"/>
      <c r="CFC5" s="94"/>
      <c r="CFD5" s="94"/>
      <c r="CFE5" s="94"/>
      <c r="CFF5" s="94"/>
      <c r="CFG5" s="94"/>
      <c r="CFH5" s="94"/>
      <c r="CFI5" s="94"/>
      <c r="CFJ5" s="94"/>
      <c r="CFK5" s="94"/>
      <c r="CFL5" s="94"/>
      <c r="CFM5" s="94"/>
      <c r="CFN5" s="94"/>
      <c r="CFO5" s="94"/>
      <c r="CFP5" s="94"/>
      <c r="CFQ5" s="94"/>
      <c r="CFR5" s="94"/>
      <c r="CFS5" s="94"/>
      <c r="CFT5" s="94"/>
      <c r="CFU5" s="94"/>
      <c r="CFV5" s="94"/>
      <c r="CFW5" s="94"/>
      <c r="CFX5" s="94"/>
      <c r="CFY5" s="94"/>
      <c r="CFZ5" s="94"/>
      <c r="CGA5" s="94"/>
      <c r="CGB5" s="94"/>
      <c r="CGC5" s="94"/>
      <c r="CGD5" s="94"/>
      <c r="CGE5" s="94"/>
      <c r="CGF5" s="94"/>
      <c r="CGG5" s="94"/>
      <c r="CGH5" s="94"/>
      <c r="CGI5" s="94"/>
      <c r="CGJ5" s="94"/>
      <c r="CGK5" s="94"/>
      <c r="CGL5" s="94"/>
      <c r="CGM5" s="94"/>
      <c r="CGN5" s="94"/>
      <c r="CGO5" s="94"/>
      <c r="CGP5" s="94"/>
      <c r="CGQ5" s="94"/>
      <c r="CGR5" s="94"/>
      <c r="CGS5" s="94"/>
      <c r="CGT5" s="94"/>
      <c r="CGU5" s="94"/>
      <c r="CGV5" s="94"/>
      <c r="CGW5" s="94"/>
      <c r="CGX5" s="94"/>
      <c r="CGY5" s="94"/>
      <c r="CGZ5" s="94"/>
      <c r="CHA5" s="94"/>
      <c r="CHB5" s="94"/>
      <c r="CHC5" s="94"/>
      <c r="CHD5" s="94"/>
      <c r="CHE5" s="94"/>
      <c r="CHF5" s="94"/>
      <c r="CHG5" s="94"/>
      <c r="CHH5" s="94"/>
      <c r="CHI5" s="94"/>
      <c r="CHJ5" s="94"/>
      <c r="CHK5" s="94"/>
      <c r="CHL5" s="94"/>
      <c r="CHM5" s="94"/>
      <c r="CHN5" s="94"/>
      <c r="CHO5" s="94"/>
      <c r="CHP5" s="94"/>
      <c r="CHQ5" s="94"/>
      <c r="CHR5" s="94"/>
      <c r="CHS5" s="94"/>
      <c r="CHT5" s="94"/>
      <c r="CHU5" s="94"/>
      <c r="CHV5" s="94"/>
      <c r="CHW5" s="94"/>
      <c r="CHX5" s="94"/>
      <c r="CHY5" s="94"/>
      <c r="CHZ5" s="94"/>
      <c r="CIA5" s="94"/>
      <c r="CIB5" s="94"/>
      <c r="CIC5" s="94"/>
      <c r="CID5" s="94"/>
      <c r="CIE5" s="94"/>
      <c r="CIF5" s="94"/>
      <c r="CIG5" s="94"/>
      <c r="CIH5" s="94"/>
      <c r="CII5" s="94"/>
      <c r="CIJ5" s="94"/>
      <c r="CIK5" s="94"/>
      <c r="CIL5" s="94"/>
      <c r="CIM5" s="94"/>
      <c r="CIN5" s="94"/>
      <c r="CIO5" s="94"/>
      <c r="CIP5" s="94"/>
      <c r="CIQ5" s="94"/>
      <c r="CIR5" s="94"/>
      <c r="CIS5" s="94"/>
      <c r="CIT5" s="94"/>
      <c r="CIU5" s="94"/>
      <c r="CIV5" s="94"/>
      <c r="CIW5" s="94"/>
      <c r="CIX5" s="94"/>
      <c r="CIY5" s="94"/>
      <c r="CIZ5" s="94"/>
      <c r="CJA5" s="94"/>
      <c r="CJB5" s="94"/>
      <c r="CJC5" s="94"/>
      <c r="CJD5" s="94"/>
      <c r="CJE5" s="94"/>
      <c r="CJF5" s="94"/>
      <c r="CJG5" s="94"/>
      <c r="CJH5" s="94"/>
      <c r="CJI5" s="94"/>
      <c r="CJJ5" s="94"/>
      <c r="CJK5" s="94"/>
      <c r="CJL5" s="94"/>
      <c r="CJM5" s="94"/>
      <c r="CJN5" s="94"/>
      <c r="CJO5" s="94"/>
      <c r="CJP5" s="94"/>
      <c r="CJQ5" s="94"/>
      <c r="CJR5" s="94"/>
      <c r="CJS5" s="94"/>
      <c r="CJT5" s="94"/>
      <c r="CJU5" s="94"/>
      <c r="CJV5" s="94"/>
      <c r="CJW5" s="94"/>
      <c r="CJX5" s="94"/>
      <c r="CJY5" s="94"/>
      <c r="CJZ5" s="94"/>
      <c r="CKA5" s="94"/>
      <c r="CKB5" s="94"/>
      <c r="CKC5" s="94"/>
      <c r="CKD5" s="94"/>
      <c r="CKE5" s="94"/>
      <c r="CKF5" s="94"/>
      <c r="CKG5" s="94"/>
      <c r="CKH5" s="94"/>
      <c r="CKI5" s="94"/>
      <c r="CKJ5" s="94"/>
      <c r="CKK5" s="94"/>
      <c r="CKL5" s="94"/>
      <c r="CKM5" s="94"/>
      <c r="CKN5" s="94"/>
      <c r="CKO5" s="94"/>
      <c r="CKP5" s="94"/>
      <c r="CKQ5" s="94"/>
      <c r="CKR5" s="94"/>
      <c r="CKS5" s="94"/>
      <c r="CKT5" s="94"/>
      <c r="CKU5" s="94"/>
      <c r="CKV5" s="94"/>
      <c r="CKW5" s="94"/>
      <c r="CKX5" s="94"/>
      <c r="CKY5" s="94"/>
      <c r="CKZ5" s="94"/>
      <c r="CLA5" s="94"/>
      <c r="CLB5" s="94"/>
      <c r="CLC5" s="94"/>
      <c r="CLD5" s="94"/>
      <c r="CLE5" s="94"/>
      <c r="CLF5" s="94"/>
      <c r="CLG5" s="94"/>
      <c r="CLH5" s="94"/>
      <c r="CLI5" s="94"/>
      <c r="CLJ5" s="94"/>
      <c r="CLK5" s="94"/>
      <c r="CLL5" s="94"/>
      <c r="CLM5" s="94"/>
      <c r="CLN5" s="94"/>
      <c r="CLO5" s="94"/>
      <c r="CLP5" s="94"/>
      <c r="CLQ5" s="94"/>
      <c r="CLR5" s="94"/>
      <c r="CLS5" s="94"/>
      <c r="CLT5" s="94"/>
      <c r="CLU5" s="94"/>
      <c r="CLV5" s="94"/>
      <c r="CLW5" s="94"/>
      <c r="CLX5" s="94"/>
      <c r="CLY5" s="94"/>
      <c r="CLZ5" s="94"/>
      <c r="CMA5" s="94"/>
      <c r="CMB5" s="94"/>
      <c r="CMC5" s="94"/>
      <c r="CMD5" s="94"/>
      <c r="CME5" s="94"/>
      <c r="CMF5" s="94"/>
      <c r="CMG5" s="94"/>
      <c r="CMH5" s="94"/>
      <c r="CMI5" s="94"/>
      <c r="CMJ5" s="94"/>
      <c r="CMK5" s="94"/>
      <c r="CML5" s="94"/>
      <c r="CMM5" s="94"/>
      <c r="CMN5" s="94"/>
      <c r="CMO5" s="94"/>
      <c r="CMP5" s="94"/>
      <c r="CMQ5" s="94"/>
      <c r="CMR5" s="94"/>
      <c r="CMS5" s="94"/>
      <c r="CMT5" s="94"/>
      <c r="CMU5" s="94"/>
      <c r="CMV5" s="94"/>
      <c r="CMW5" s="94"/>
      <c r="CMX5" s="94"/>
      <c r="CMY5" s="94"/>
      <c r="CMZ5" s="94"/>
      <c r="CNA5" s="94"/>
      <c r="CNB5" s="94"/>
      <c r="CNC5" s="94"/>
      <c r="CND5" s="94"/>
      <c r="CNE5" s="94"/>
      <c r="CNF5" s="94"/>
      <c r="CNG5" s="94"/>
      <c r="CNH5" s="94"/>
      <c r="CNI5" s="94"/>
      <c r="CNJ5" s="94"/>
      <c r="CNK5" s="94"/>
      <c r="CNL5" s="94"/>
      <c r="CNM5" s="94"/>
      <c r="CNN5" s="94"/>
      <c r="CNO5" s="94"/>
      <c r="CNP5" s="94"/>
      <c r="CNQ5" s="94"/>
      <c r="CNR5" s="94"/>
      <c r="CNS5" s="94"/>
      <c r="CNT5" s="94"/>
      <c r="CNU5" s="94"/>
      <c r="CNV5" s="94"/>
      <c r="CNW5" s="94"/>
      <c r="CNX5" s="94"/>
      <c r="CNY5" s="94"/>
      <c r="CNZ5" s="94"/>
      <c r="COA5" s="94"/>
      <c r="COB5" s="94"/>
      <c r="COC5" s="94"/>
      <c r="COD5" s="94"/>
      <c r="COE5" s="94"/>
      <c r="COF5" s="94"/>
      <c r="COG5" s="94"/>
      <c r="COH5" s="94"/>
      <c r="COI5" s="94"/>
      <c r="COJ5" s="94"/>
      <c r="COK5" s="94"/>
      <c r="COL5" s="94"/>
      <c r="COM5" s="94"/>
      <c r="CON5" s="94"/>
      <c r="COO5" s="94"/>
      <c r="COP5" s="94"/>
      <c r="COQ5" s="94"/>
      <c r="COR5" s="94"/>
      <c r="COS5" s="94"/>
      <c r="COT5" s="94"/>
      <c r="COU5" s="94"/>
      <c r="COV5" s="94"/>
      <c r="COW5" s="94"/>
      <c r="COX5" s="94"/>
      <c r="COY5" s="94"/>
      <c r="COZ5" s="94"/>
      <c r="CPA5" s="94"/>
      <c r="CPB5" s="94"/>
      <c r="CPC5" s="94"/>
      <c r="CPD5" s="94"/>
      <c r="CPE5" s="94"/>
      <c r="CPF5" s="94"/>
      <c r="CPG5" s="94"/>
      <c r="CPH5" s="94"/>
      <c r="CPI5" s="94"/>
      <c r="CPJ5" s="94"/>
      <c r="CPK5" s="94"/>
      <c r="CPL5" s="94"/>
      <c r="CPM5" s="94"/>
      <c r="CPN5" s="94"/>
      <c r="CPO5" s="94"/>
      <c r="CPP5" s="94"/>
      <c r="CPQ5" s="94"/>
      <c r="CPR5" s="94"/>
      <c r="CPS5" s="94"/>
      <c r="CPT5" s="94"/>
      <c r="CPU5" s="94"/>
      <c r="CPV5" s="94"/>
      <c r="CPW5" s="94"/>
      <c r="CPX5" s="94"/>
      <c r="CPY5" s="94"/>
      <c r="CPZ5" s="94"/>
      <c r="CQA5" s="94"/>
      <c r="CQB5" s="94"/>
      <c r="CQC5" s="94"/>
      <c r="CQD5" s="94"/>
      <c r="CQE5" s="94"/>
      <c r="CQF5" s="94"/>
      <c r="CQG5" s="94"/>
      <c r="CQH5" s="94"/>
      <c r="CQI5" s="94"/>
      <c r="CQJ5" s="94"/>
      <c r="CQK5" s="94"/>
      <c r="CQL5" s="94"/>
      <c r="CQM5" s="94"/>
      <c r="CQN5" s="94"/>
      <c r="CQO5" s="94"/>
      <c r="CQP5" s="94"/>
      <c r="CQQ5" s="94"/>
      <c r="CQR5" s="94"/>
      <c r="CQS5" s="94"/>
      <c r="CQT5" s="94"/>
      <c r="CQU5" s="94"/>
      <c r="CQV5" s="94"/>
      <c r="CQW5" s="94"/>
      <c r="CQX5" s="94"/>
      <c r="CQY5" s="94"/>
      <c r="CQZ5" s="94"/>
      <c r="CRA5" s="94"/>
      <c r="CRB5" s="94"/>
      <c r="CRC5" s="94"/>
      <c r="CRD5" s="94"/>
      <c r="CRE5" s="94"/>
      <c r="CRF5" s="94"/>
      <c r="CRG5" s="94"/>
      <c r="CRH5" s="94"/>
      <c r="CRI5" s="94"/>
      <c r="CRJ5" s="94"/>
      <c r="CRK5" s="94"/>
      <c r="CRL5" s="94"/>
      <c r="CRM5" s="94"/>
      <c r="CRN5" s="94"/>
      <c r="CRO5" s="94"/>
      <c r="CRP5" s="94"/>
      <c r="CRQ5" s="94"/>
      <c r="CRR5" s="94"/>
      <c r="CRS5" s="94"/>
      <c r="CRT5" s="94"/>
      <c r="CRU5" s="94"/>
      <c r="CRV5" s="94"/>
      <c r="CRW5" s="94"/>
      <c r="CRX5" s="94"/>
      <c r="CRY5" s="94"/>
      <c r="CRZ5" s="94"/>
      <c r="CSA5" s="94"/>
      <c r="CSB5" s="94"/>
      <c r="CSC5" s="94"/>
      <c r="CSD5" s="94"/>
      <c r="CSE5" s="94"/>
      <c r="CSF5" s="94"/>
      <c r="CSG5" s="94"/>
      <c r="CSH5" s="94"/>
      <c r="CSI5" s="94"/>
      <c r="CSJ5" s="94"/>
      <c r="CSK5" s="94"/>
      <c r="CSL5" s="94"/>
      <c r="CSM5" s="94"/>
      <c r="CSN5" s="94"/>
      <c r="CSO5" s="94"/>
      <c r="CSP5" s="94"/>
      <c r="CSQ5" s="94"/>
      <c r="CSR5" s="94"/>
      <c r="CSS5" s="94"/>
      <c r="CST5" s="94"/>
      <c r="CSU5" s="94"/>
      <c r="CSV5" s="94"/>
      <c r="CSW5" s="94"/>
      <c r="CSX5" s="94"/>
      <c r="CSY5" s="94"/>
      <c r="CSZ5" s="94"/>
      <c r="CTA5" s="94"/>
      <c r="CTB5" s="94"/>
      <c r="CTC5" s="94"/>
      <c r="CTD5" s="94"/>
      <c r="CTE5" s="94"/>
      <c r="CTF5" s="94"/>
      <c r="CTG5" s="94"/>
      <c r="CTH5" s="94"/>
      <c r="CTI5" s="94"/>
      <c r="CTJ5" s="94"/>
      <c r="CTK5" s="94"/>
      <c r="CTL5" s="94"/>
      <c r="CTM5" s="94"/>
      <c r="CTN5" s="94"/>
      <c r="CTO5" s="94"/>
      <c r="CTP5" s="94"/>
      <c r="CTQ5" s="94"/>
      <c r="CTR5" s="94"/>
      <c r="CTS5" s="94"/>
      <c r="CTT5" s="94"/>
      <c r="CTU5" s="94"/>
      <c r="CTV5" s="94"/>
      <c r="CTW5" s="94"/>
      <c r="CTX5" s="94"/>
      <c r="CTY5" s="94"/>
      <c r="CTZ5" s="94"/>
      <c r="CUA5" s="94"/>
      <c r="CUB5" s="94"/>
      <c r="CUC5" s="94"/>
      <c r="CUD5" s="94"/>
      <c r="CUE5" s="94"/>
      <c r="CUF5" s="94"/>
      <c r="CUG5" s="94"/>
      <c r="CUH5" s="94"/>
      <c r="CUI5" s="94"/>
      <c r="CUJ5" s="94"/>
      <c r="CUK5" s="94"/>
      <c r="CUL5" s="94"/>
      <c r="CUM5" s="94"/>
      <c r="CUN5" s="94"/>
      <c r="CUO5" s="94"/>
      <c r="CUP5" s="94"/>
      <c r="CUQ5" s="94"/>
      <c r="CUR5" s="94"/>
      <c r="CUS5" s="94"/>
      <c r="CUT5" s="94"/>
      <c r="CUU5" s="94"/>
      <c r="CUV5" s="94"/>
      <c r="CUW5" s="94"/>
      <c r="CUX5" s="94"/>
      <c r="CUY5" s="94"/>
      <c r="CUZ5" s="94"/>
      <c r="CVA5" s="94"/>
      <c r="CVB5" s="94"/>
      <c r="CVC5" s="94"/>
      <c r="CVD5" s="94"/>
      <c r="CVE5" s="94"/>
      <c r="CVF5" s="94"/>
      <c r="CVG5" s="94"/>
      <c r="CVH5" s="94"/>
      <c r="CVI5" s="94"/>
      <c r="CVJ5" s="94"/>
      <c r="CVK5" s="94"/>
      <c r="CVL5" s="94"/>
      <c r="CVM5" s="94"/>
      <c r="CVN5" s="94"/>
      <c r="CVO5" s="94"/>
      <c r="CVP5" s="94"/>
      <c r="CVQ5" s="94"/>
      <c r="CVR5" s="94"/>
      <c r="CVS5" s="94"/>
      <c r="CVT5" s="94"/>
      <c r="CVU5" s="94"/>
      <c r="CVV5" s="94"/>
      <c r="CVW5" s="94"/>
      <c r="CVX5" s="94"/>
      <c r="CVY5" s="94"/>
      <c r="CVZ5" s="94"/>
      <c r="CWA5" s="94"/>
      <c r="CWB5" s="94"/>
      <c r="CWC5" s="94"/>
      <c r="CWD5" s="94"/>
      <c r="CWE5" s="94"/>
      <c r="CWF5" s="94"/>
      <c r="CWG5" s="94"/>
      <c r="CWH5" s="94"/>
      <c r="CWI5" s="94"/>
      <c r="CWJ5" s="94"/>
      <c r="CWK5" s="94"/>
      <c r="CWL5" s="94"/>
      <c r="CWM5" s="94"/>
      <c r="CWN5" s="94"/>
      <c r="CWO5" s="94"/>
      <c r="CWP5" s="94"/>
      <c r="CWQ5" s="94"/>
      <c r="CWR5" s="94"/>
      <c r="CWS5" s="94"/>
      <c r="CWT5" s="94"/>
      <c r="CWU5" s="94"/>
      <c r="CWV5" s="94"/>
      <c r="CWW5" s="94"/>
      <c r="CWX5" s="94"/>
      <c r="CWY5" s="94"/>
      <c r="CWZ5" s="94"/>
      <c r="CXA5" s="94"/>
      <c r="CXB5" s="94"/>
      <c r="CXC5" s="94"/>
      <c r="CXD5" s="94"/>
      <c r="CXE5" s="94"/>
      <c r="CXF5" s="94"/>
      <c r="CXG5" s="94"/>
      <c r="CXH5" s="94"/>
      <c r="CXI5" s="94"/>
      <c r="CXJ5" s="94"/>
      <c r="CXK5" s="94"/>
      <c r="CXL5" s="94"/>
      <c r="CXM5" s="94"/>
      <c r="CXN5" s="94"/>
      <c r="CXO5" s="94"/>
      <c r="CXP5" s="94"/>
      <c r="CXQ5" s="94"/>
      <c r="CXR5" s="94"/>
      <c r="CXS5" s="94"/>
      <c r="CXT5" s="94"/>
      <c r="CXU5" s="94"/>
      <c r="CXV5" s="94"/>
      <c r="CXW5" s="94"/>
      <c r="CXX5" s="94"/>
      <c r="CXY5" s="94"/>
      <c r="CXZ5" s="94"/>
      <c r="CYA5" s="94"/>
      <c r="CYB5" s="94"/>
      <c r="CYC5" s="94"/>
      <c r="CYD5" s="94"/>
      <c r="CYE5" s="94"/>
      <c r="CYF5" s="94"/>
      <c r="CYG5" s="94"/>
      <c r="CYH5" s="94"/>
      <c r="CYI5" s="94"/>
      <c r="CYJ5" s="94"/>
      <c r="CYK5" s="94"/>
      <c r="CYL5" s="94"/>
      <c r="CYM5" s="94"/>
      <c r="CYN5" s="94"/>
      <c r="CYO5" s="94"/>
      <c r="CYP5" s="94"/>
      <c r="CYQ5" s="94"/>
      <c r="CYR5" s="94"/>
      <c r="CYS5" s="94"/>
      <c r="CYT5" s="94"/>
      <c r="CYU5" s="94"/>
      <c r="CYV5" s="94"/>
      <c r="CYW5" s="94"/>
      <c r="CYX5" s="94"/>
      <c r="CYY5" s="94"/>
      <c r="CYZ5" s="94"/>
      <c r="CZA5" s="94"/>
      <c r="CZB5" s="94"/>
      <c r="CZC5" s="94"/>
      <c r="CZD5" s="94"/>
      <c r="CZE5" s="94"/>
      <c r="CZF5" s="94"/>
      <c r="CZG5" s="94"/>
      <c r="CZH5" s="94"/>
      <c r="CZI5" s="94"/>
      <c r="CZJ5" s="94"/>
      <c r="CZK5" s="94"/>
      <c r="CZL5" s="94"/>
      <c r="CZM5" s="94"/>
      <c r="CZN5" s="94"/>
      <c r="CZO5" s="94"/>
      <c r="CZP5" s="94"/>
      <c r="CZQ5" s="94"/>
      <c r="CZR5" s="94"/>
      <c r="CZS5" s="94"/>
      <c r="CZT5" s="94"/>
      <c r="CZU5" s="94"/>
      <c r="CZV5" s="94"/>
      <c r="CZW5" s="94"/>
      <c r="CZX5" s="94"/>
      <c r="CZY5" s="94"/>
      <c r="CZZ5" s="94"/>
      <c r="DAA5" s="94"/>
      <c r="DAB5" s="94"/>
      <c r="DAC5" s="94"/>
      <c r="DAD5" s="94"/>
      <c r="DAE5" s="94"/>
      <c r="DAF5" s="94"/>
      <c r="DAG5" s="94"/>
      <c r="DAH5" s="94"/>
      <c r="DAI5" s="94"/>
      <c r="DAJ5" s="94"/>
      <c r="DAK5" s="94"/>
      <c r="DAL5" s="94"/>
      <c r="DAM5" s="94"/>
      <c r="DAN5" s="94"/>
      <c r="DAO5" s="94"/>
      <c r="DAP5" s="94"/>
      <c r="DAQ5" s="94"/>
      <c r="DAR5" s="94"/>
      <c r="DAS5" s="94"/>
      <c r="DAT5" s="94"/>
      <c r="DAU5" s="94"/>
      <c r="DAV5" s="94"/>
      <c r="DAW5" s="94"/>
      <c r="DAX5" s="94"/>
      <c r="DAY5" s="94"/>
      <c r="DAZ5" s="94"/>
      <c r="DBA5" s="94"/>
      <c r="DBB5" s="94"/>
      <c r="DBC5" s="94"/>
      <c r="DBD5" s="94"/>
      <c r="DBE5" s="94"/>
      <c r="DBF5" s="94"/>
      <c r="DBG5" s="94"/>
      <c r="DBH5" s="94"/>
      <c r="DBI5" s="94"/>
      <c r="DBJ5" s="94"/>
      <c r="DBK5" s="94"/>
      <c r="DBL5" s="94"/>
      <c r="DBM5" s="94"/>
      <c r="DBN5" s="94"/>
      <c r="DBO5" s="94"/>
      <c r="DBP5" s="94"/>
      <c r="DBQ5" s="94"/>
      <c r="DBR5" s="94"/>
      <c r="DBS5" s="94"/>
      <c r="DBT5" s="94"/>
      <c r="DBU5" s="94"/>
      <c r="DBV5" s="94"/>
      <c r="DBW5" s="94"/>
      <c r="DBX5" s="94"/>
      <c r="DBY5" s="94"/>
      <c r="DBZ5" s="94"/>
      <c r="DCA5" s="94"/>
      <c r="DCB5" s="94"/>
      <c r="DCC5" s="94"/>
      <c r="DCD5" s="94"/>
      <c r="DCE5" s="94"/>
      <c r="DCF5" s="94"/>
      <c r="DCG5" s="94"/>
      <c r="DCH5" s="94"/>
      <c r="DCI5" s="94"/>
      <c r="DCJ5" s="94"/>
      <c r="DCK5" s="94"/>
      <c r="DCL5" s="94"/>
      <c r="DCM5" s="94"/>
      <c r="DCN5" s="94"/>
      <c r="DCO5" s="94"/>
      <c r="DCP5" s="94"/>
      <c r="DCQ5" s="94"/>
      <c r="DCR5" s="94"/>
      <c r="DCS5" s="94"/>
      <c r="DCT5" s="94"/>
      <c r="DCU5" s="94"/>
      <c r="DCV5" s="94"/>
      <c r="DCW5" s="94"/>
      <c r="DCX5" s="94"/>
      <c r="DCY5" s="94"/>
      <c r="DCZ5" s="94"/>
      <c r="DDA5" s="94"/>
      <c r="DDB5" s="94"/>
      <c r="DDC5" s="94"/>
      <c r="DDD5" s="94"/>
      <c r="DDE5" s="94"/>
      <c r="DDF5" s="94"/>
      <c r="DDG5" s="94"/>
      <c r="DDH5" s="94"/>
      <c r="DDI5" s="94"/>
      <c r="DDJ5" s="94"/>
      <c r="DDK5" s="94"/>
      <c r="DDL5" s="94"/>
      <c r="DDM5" s="94"/>
      <c r="DDN5" s="94"/>
      <c r="DDO5" s="94"/>
      <c r="DDP5" s="94"/>
      <c r="DDQ5" s="94"/>
      <c r="DDR5" s="94"/>
      <c r="DDS5" s="94"/>
      <c r="DDT5" s="94"/>
      <c r="DDU5" s="94"/>
      <c r="DDV5" s="94"/>
      <c r="DDW5" s="94"/>
      <c r="DDX5" s="94"/>
      <c r="DDY5" s="94"/>
      <c r="DDZ5" s="94"/>
      <c r="DEA5" s="94"/>
      <c r="DEB5" s="94"/>
      <c r="DEC5" s="94"/>
      <c r="DED5" s="94"/>
      <c r="DEE5" s="94"/>
      <c r="DEF5" s="94"/>
      <c r="DEG5" s="94"/>
      <c r="DEH5" s="94"/>
      <c r="DEI5" s="94"/>
      <c r="DEJ5" s="94"/>
      <c r="DEK5" s="94"/>
      <c r="DEL5" s="94"/>
      <c r="DEM5" s="94"/>
      <c r="DEN5" s="94"/>
      <c r="DEO5" s="94"/>
      <c r="DEP5" s="94"/>
      <c r="DEQ5" s="94"/>
      <c r="DER5" s="94"/>
      <c r="DES5" s="94"/>
      <c r="DET5" s="94"/>
      <c r="DEU5" s="94"/>
      <c r="DEV5" s="94"/>
      <c r="DEW5" s="94"/>
      <c r="DEX5" s="94"/>
      <c r="DEY5" s="94"/>
      <c r="DEZ5" s="94"/>
      <c r="DFA5" s="94"/>
      <c r="DFB5" s="94"/>
      <c r="DFC5" s="94"/>
      <c r="DFD5" s="94"/>
      <c r="DFE5" s="94"/>
      <c r="DFF5" s="94"/>
      <c r="DFG5" s="94"/>
      <c r="DFH5" s="94"/>
      <c r="DFI5" s="94"/>
      <c r="DFJ5" s="94"/>
      <c r="DFK5" s="94"/>
      <c r="DFL5" s="94"/>
      <c r="DFM5" s="94"/>
      <c r="DFN5" s="94"/>
      <c r="DFO5" s="94"/>
      <c r="DFP5" s="94"/>
      <c r="DFQ5" s="94"/>
      <c r="DFR5" s="94"/>
      <c r="DFS5" s="94"/>
      <c r="DFT5" s="94"/>
      <c r="DFU5" s="94"/>
      <c r="DFV5" s="94"/>
      <c r="DFW5" s="94"/>
      <c r="DFX5" s="94"/>
      <c r="DFY5" s="94"/>
      <c r="DFZ5" s="94"/>
      <c r="DGA5" s="94"/>
      <c r="DGB5" s="94"/>
      <c r="DGC5" s="94"/>
      <c r="DGD5" s="94"/>
      <c r="DGE5" s="94"/>
      <c r="DGF5" s="94"/>
      <c r="DGG5" s="94"/>
      <c r="DGH5" s="94"/>
      <c r="DGI5" s="94"/>
      <c r="DGJ5" s="94"/>
      <c r="DGK5" s="94"/>
      <c r="DGL5" s="94"/>
      <c r="DGM5" s="94"/>
      <c r="DGN5" s="94"/>
      <c r="DGO5" s="94"/>
      <c r="DGP5" s="94"/>
      <c r="DGQ5" s="94"/>
      <c r="DGR5" s="94"/>
      <c r="DGS5" s="94"/>
      <c r="DGT5" s="94"/>
      <c r="DGU5" s="94"/>
      <c r="DGV5" s="94"/>
      <c r="DGW5" s="94"/>
      <c r="DGX5" s="94"/>
      <c r="DGY5" s="94"/>
      <c r="DGZ5" s="94"/>
      <c r="DHA5" s="94"/>
      <c r="DHB5" s="94"/>
      <c r="DHC5" s="94"/>
      <c r="DHD5" s="94"/>
      <c r="DHE5" s="94"/>
      <c r="DHF5" s="94"/>
      <c r="DHG5" s="94"/>
      <c r="DHH5" s="94"/>
      <c r="DHI5" s="94"/>
      <c r="DHJ5" s="94"/>
      <c r="DHK5" s="94"/>
      <c r="DHL5" s="94"/>
      <c r="DHM5" s="94"/>
      <c r="DHN5" s="94"/>
      <c r="DHO5" s="94"/>
      <c r="DHP5" s="94"/>
      <c r="DHQ5" s="94"/>
      <c r="DHR5" s="94"/>
      <c r="DHS5" s="94"/>
      <c r="DHT5" s="94"/>
      <c r="DHU5" s="94"/>
      <c r="DHV5" s="94"/>
      <c r="DHW5" s="94"/>
      <c r="DHX5" s="94"/>
      <c r="DHY5" s="94"/>
      <c r="DHZ5" s="94"/>
      <c r="DIA5" s="94"/>
      <c r="DIB5" s="94"/>
      <c r="DIC5" s="94"/>
      <c r="DID5" s="94"/>
      <c r="DIE5" s="94"/>
      <c r="DIF5" s="94"/>
      <c r="DIG5" s="94"/>
      <c r="DIH5" s="94"/>
      <c r="DII5" s="94"/>
      <c r="DIJ5" s="94"/>
      <c r="DIK5" s="94"/>
      <c r="DIL5" s="94"/>
      <c r="DIM5" s="94"/>
      <c r="DIN5" s="94"/>
      <c r="DIO5" s="94"/>
      <c r="DIP5" s="94"/>
      <c r="DIQ5" s="94"/>
      <c r="DIR5" s="94"/>
      <c r="DIS5" s="94"/>
      <c r="DIT5" s="94"/>
      <c r="DIU5" s="94"/>
      <c r="DIV5" s="94"/>
      <c r="DIW5" s="94"/>
      <c r="DIX5" s="94"/>
      <c r="DIY5" s="94"/>
      <c r="DIZ5" s="94"/>
      <c r="DJA5" s="94"/>
      <c r="DJB5" s="94"/>
      <c r="DJC5" s="94"/>
      <c r="DJD5" s="94"/>
      <c r="DJE5" s="94"/>
      <c r="DJF5" s="94"/>
      <c r="DJG5" s="94"/>
      <c r="DJH5" s="94"/>
      <c r="DJI5" s="94"/>
      <c r="DJJ5" s="94"/>
      <c r="DJK5" s="94"/>
      <c r="DJL5" s="94"/>
      <c r="DJM5" s="94"/>
      <c r="DJN5" s="94"/>
      <c r="DJO5" s="94"/>
      <c r="DJP5" s="94"/>
      <c r="DJQ5" s="94"/>
      <c r="DJR5" s="94"/>
      <c r="DJS5" s="94"/>
      <c r="DJT5" s="94"/>
      <c r="DJU5" s="94"/>
      <c r="DJV5" s="94"/>
      <c r="DJW5" s="94"/>
      <c r="DJX5" s="94"/>
      <c r="DJY5" s="94"/>
      <c r="DJZ5" s="94"/>
      <c r="DKA5" s="94"/>
      <c r="DKB5" s="94"/>
      <c r="DKC5" s="94"/>
      <c r="DKD5" s="94"/>
      <c r="DKE5" s="94"/>
      <c r="DKF5" s="94"/>
      <c r="DKG5" s="94"/>
      <c r="DKH5" s="94"/>
      <c r="DKI5" s="94"/>
      <c r="DKJ5" s="94"/>
      <c r="DKK5" s="94"/>
      <c r="DKL5" s="94"/>
      <c r="DKM5" s="94"/>
      <c r="DKN5" s="94"/>
      <c r="DKO5" s="94"/>
      <c r="DKP5" s="94"/>
      <c r="DKQ5" s="94"/>
      <c r="DKR5" s="94"/>
      <c r="DKS5" s="94"/>
      <c r="DKT5" s="94"/>
      <c r="DKU5" s="94"/>
      <c r="DKV5" s="94"/>
      <c r="DKW5" s="94"/>
      <c r="DKX5" s="94"/>
      <c r="DKY5" s="94"/>
      <c r="DKZ5" s="94"/>
      <c r="DLA5" s="94"/>
      <c r="DLB5" s="94"/>
      <c r="DLC5" s="94"/>
      <c r="DLD5" s="94"/>
      <c r="DLE5" s="94"/>
      <c r="DLF5" s="94"/>
      <c r="DLG5" s="94"/>
      <c r="DLH5" s="94"/>
      <c r="DLI5" s="94"/>
      <c r="DLJ5" s="94"/>
      <c r="DLK5" s="94"/>
      <c r="DLL5" s="94"/>
      <c r="DLM5" s="94"/>
      <c r="DLN5" s="94"/>
      <c r="DLO5" s="94"/>
      <c r="DLP5" s="94"/>
      <c r="DLQ5" s="94"/>
      <c r="DLR5" s="94"/>
      <c r="DLS5" s="94"/>
      <c r="DLT5" s="94"/>
      <c r="DLU5" s="94"/>
      <c r="DLV5" s="94"/>
      <c r="DLW5" s="94"/>
      <c r="DLX5" s="94"/>
      <c r="DLY5" s="94"/>
      <c r="DLZ5" s="94"/>
      <c r="DMA5" s="94"/>
      <c r="DMB5" s="94"/>
      <c r="DMC5" s="94"/>
      <c r="DMD5" s="94"/>
      <c r="DME5" s="94"/>
      <c r="DMF5" s="94"/>
      <c r="DMG5" s="94"/>
      <c r="DMH5" s="94"/>
      <c r="DMI5" s="94"/>
      <c r="DMJ5" s="94"/>
      <c r="DMK5" s="94"/>
      <c r="DML5" s="94"/>
      <c r="DMM5" s="94"/>
      <c r="DMN5" s="94"/>
      <c r="DMO5" s="94"/>
      <c r="DMP5" s="94"/>
      <c r="DMQ5" s="94"/>
      <c r="DMR5" s="94"/>
      <c r="DMS5" s="94"/>
      <c r="DMT5" s="94"/>
      <c r="DMU5" s="94"/>
      <c r="DMV5" s="94"/>
      <c r="DMW5" s="94"/>
      <c r="DMX5" s="94"/>
      <c r="DMY5" s="94"/>
      <c r="DMZ5" s="94"/>
      <c r="DNA5" s="94"/>
      <c r="DNB5" s="94"/>
      <c r="DNC5" s="94"/>
      <c r="DND5" s="94"/>
      <c r="DNE5" s="94"/>
      <c r="DNF5" s="94"/>
      <c r="DNG5" s="94"/>
      <c r="DNH5" s="94"/>
      <c r="DNI5" s="94"/>
      <c r="DNJ5" s="94"/>
      <c r="DNK5" s="94"/>
      <c r="DNL5" s="94"/>
      <c r="DNM5" s="94"/>
      <c r="DNN5" s="94"/>
      <c r="DNO5" s="94"/>
      <c r="DNP5" s="94"/>
      <c r="DNQ5" s="94"/>
      <c r="DNR5" s="94"/>
      <c r="DNS5" s="94"/>
      <c r="DNT5" s="94"/>
      <c r="DNU5" s="94"/>
      <c r="DNV5" s="94"/>
      <c r="DNW5" s="94"/>
      <c r="DNX5" s="94"/>
      <c r="DNY5" s="94"/>
      <c r="DNZ5" s="94"/>
      <c r="DOA5" s="94"/>
      <c r="DOB5" s="94"/>
      <c r="DOC5" s="94"/>
      <c r="DOD5" s="94"/>
      <c r="DOE5" s="94"/>
      <c r="DOF5" s="94"/>
      <c r="DOG5" s="94"/>
      <c r="DOH5" s="94"/>
      <c r="DOI5" s="94"/>
      <c r="DOJ5" s="94"/>
      <c r="DOK5" s="94"/>
      <c r="DOL5" s="94"/>
      <c r="DOM5" s="94"/>
      <c r="DON5" s="94"/>
      <c r="DOO5" s="94"/>
      <c r="DOP5" s="94"/>
      <c r="DOQ5" s="94"/>
      <c r="DOR5" s="94"/>
      <c r="DOS5" s="94"/>
      <c r="DOT5" s="94"/>
      <c r="DOU5" s="94"/>
      <c r="DOV5" s="94"/>
      <c r="DOW5" s="94"/>
      <c r="DOX5" s="94"/>
      <c r="DOY5" s="94"/>
      <c r="DOZ5" s="94"/>
      <c r="DPA5" s="94"/>
      <c r="DPB5" s="94"/>
      <c r="DPC5" s="94"/>
      <c r="DPD5" s="94"/>
      <c r="DPE5" s="94"/>
      <c r="DPF5" s="94"/>
      <c r="DPG5" s="94"/>
      <c r="DPH5" s="94"/>
      <c r="DPI5" s="94"/>
      <c r="DPJ5" s="94"/>
      <c r="DPK5" s="94"/>
      <c r="DPL5" s="94"/>
      <c r="DPM5" s="94"/>
      <c r="DPN5" s="94"/>
      <c r="DPO5" s="94"/>
      <c r="DPP5" s="94"/>
      <c r="DPQ5" s="94"/>
      <c r="DPR5" s="94"/>
      <c r="DPS5" s="94"/>
      <c r="DPT5" s="94"/>
      <c r="DPU5" s="94"/>
      <c r="DPV5" s="94"/>
      <c r="DPW5" s="94"/>
      <c r="DPX5" s="94"/>
      <c r="DPY5" s="94"/>
      <c r="DPZ5" s="94"/>
      <c r="DQA5" s="94"/>
      <c r="DQB5" s="94"/>
      <c r="DQC5" s="94"/>
      <c r="DQD5" s="94"/>
      <c r="DQE5" s="94"/>
      <c r="DQF5" s="94"/>
      <c r="DQG5" s="94"/>
      <c r="DQH5" s="94"/>
      <c r="DQI5" s="94"/>
      <c r="DQJ5" s="94"/>
      <c r="DQK5" s="94"/>
      <c r="DQL5" s="94"/>
      <c r="DQM5" s="94"/>
      <c r="DQN5" s="94"/>
      <c r="DQO5" s="94"/>
      <c r="DQP5" s="94"/>
      <c r="DQQ5" s="94"/>
      <c r="DQR5" s="94"/>
      <c r="DQS5" s="94"/>
      <c r="DQT5" s="94"/>
      <c r="DQU5" s="94"/>
      <c r="DQV5" s="94"/>
      <c r="DQW5" s="94"/>
      <c r="DQX5" s="94"/>
      <c r="DQY5" s="94"/>
      <c r="DQZ5" s="94"/>
      <c r="DRA5" s="94"/>
      <c r="DRB5" s="94"/>
      <c r="DRC5" s="94"/>
      <c r="DRD5" s="94"/>
      <c r="DRE5" s="94"/>
      <c r="DRF5" s="94"/>
      <c r="DRG5" s="94"/>
      <c r="DRH5" s="94"/>
      <c r="DRI5" s="94"/>
      <c r="DRJ5" s="94"/>
      <c r="DRK5" s="94"/>
      <c r="DRL5" s="94"/>
      <c r="DRM5" s="94"/>
      <c r="DRN5" s="94"/>
      <c r="DRO5" s="94"/>
      <c r="DRP5" s="94"/>
      <c r="DRQ5" s="94"/>
      <c r="DRR5" s="94"/>
      <c r="DRS5" s="94"/>
      <c r="DRT5" s="94"/>
      <c r="DRU5" s="94"/>
      <c r="DRV5" s="94"/>
      <c r="DRW5" s="94"/>
      <c r="DRX5" s="94"/>
      <c r="DRY5" s="94"/>
      <c r="DRZ5" s="94"/>
      <c r="DSA5" s="94"/>
      <c r="DSB5" s="94"/>
      <c r="DSC5" s="94"/>
      <c r="DSD5" s="94"/>
      <c r="DSE5" s="94"/>
      <c r="DSF5" s="94"/>
      <c r="DSG5" s="94"/>
      <c r="DSH5" s="94"/>
      <c r="DSI5" s="94"/>
      <c r="DSJ5" s="94"/>
      <c r="DSK5" s="94"/>
      <c r="DSL5" s="94"/>
      <c r="DSM5" s="94"/>
      <c r="DSN5" s="94"/>
      <c r="DSO5" s="94"/>
      <c r="DSP5" s="94"/>
      <c r="DSQ5" s="94"/>
      <c r="DSR5" s="94"/>
      <c r="DSS5" s="94"/>
      <c r="DST5" s="94"/>
      <c r="DSU5" s="94"/>
      <c r="DSV5" s="94"/>
      <c r="DSW5" s="94"/>
      <c r="DSX5" s="94"/>
      <c r="DSY5" s="94"/>
      <c r="DSZ5" s="94"/>
      <c r="DTA5" s="94"/>
      <c r="DTB5" s="94"/>
      <c r="DTC5" s="94"/>
      <c r="DTD5" s="94"/>
      <c r="DTE5" s="94"/>
      <c r="DTF5" s="94"/>
      <c r="DTG5" s="94"/>
      <c r="DTH5" s="94"/>
      <c r="DTI5" s="94"/>
      <c r="DTJ5" s="94"/>
      <c r="DTK5" s="94"/>
      <c r="DTL5" s="94"/>
      <c r="DTM5" s="94"/>
      <c r="DTN5" s="94"/>
      <c r="DTO5" s="94"/>
      <c r="DTP5" s="94"/>
      <c r="DTQ5" s="94"/>
      <c r="DTR5" s="94"/>
      <c r="DTS5" s="94"/>
      <c r="DTT5" s="94"/>
      <c r="DTU5" s="94"/>
      <c r="DTV5" s="94"/>
      <c r="DTW5" s="94"/>
      <c r="DTX5" s="94"/>
      <c r="DTY5" s="94"/>
      <c r="DTZ5" s="94"/>
      <c r="DUA5" s="94"/>
      <c r="DUB5" s="94"/>
      <c r="DUC5" s="94"/>
      <c r="DUD5" s="94"/>
      <c r="DUE5" s="94"/>
      <c r="DUF5" s="94"/>
      <c r="DUG5" s="94"/>
      <c r="DUH5" s="94"/>
      <c r="DUI5" s="94"/>
      <c r="DUJ5" s="94"/>
      <c r="DUK5" s="94"/>
      <c r="DUL5" s="94"/>
      <c r="DUM5" s="94"/>
      <c r="DUN5" s="94"/>
      <c r="DUO5" s="94"/>
      <c r="DUP5" s="94"/>
      <c r="DUQ5" s="94"/>
      <c r="DUR5" s="94"/>
      <c r="DUS5" s="94"/>
      <c r="DUT5" s="94"/>
      <c r="DUU5" s="94"/>
      <c r="DUV5" s="94"/>
      <c r="DUW5" s="94"/>
      <c r="DUX5" s="94"/>
      <c r="DUY5" s="94"/>
      <c r="DUZ5" s="94"/>
      <c r="DVA5" s="94"/>
      <c r="DVB5" s="94"/>
      <c r="DVC5" s="94"/>
      <c r="DVD5" s="94"/>
      <c r="DVE5" s="94"/>
      <c r="DVF5" s="94"/>
      <c r="DVG5" s="94"/>
      <c r="DVH5" s="94"/>
      <c r="DVI5" s="94"/>
      <c r="DVJ5" s="94"/>
      <c r="DVK5" s="94"/>
      <c r="DVL5" s="94"/>
      <c r="DVM5" s="94"/>
      <c r="DVN5" s="94"/>
      <c r="DVO5" s="94"/>
      <c r="DVP5" s="94"/>
      <c r="DVQ5" s="94"/>
      <c r="DVR5" s="94"/>
      <c r="DVS5" s="94"/>
      <c r="DVT5" s="94"/>
      <c r="DVU5" s="94"/>
      <c r="DVV5" s="94"/>
      <c r="DVW5" s="94"/>
      <c r="DVX5" s="94"/>
      <c r="DVY5" s="94"/>
      <c r="DVZ5" s="94"/>
      <c r="DWA5" s="94"/>
      <c r="DWB5" s="94"/>
      <c r="DWC5" s="94"/>
      <c r="DWD5" s="94"/>
      <c r="DWE5" s="94"/>
      <c r="DWF5" s="94"/>
      <c r="DWG5" s="94"/>
      <c r="DWH5" s="94"/>
      <c r="DWI5" s="94"/>
      <c r="DWJ5" s="94"/>
      <c r="DWK5" s="94"/>
      <c r="DWL5" s="94"/>
      <c r="DWM5" s="94"/>
      <c r="DWN5" s="94"/>
      <c r="DWO5" s="94"/>
      <c r="DWP5" s="94"/>
      <c r="DWQ5" s="94"/>
      <c r="DWR5" s="94"/>
      <c r="DWS5" s="94"/>
      <c r="DWT5" s="94"/>
      <c r="DWU5" s="94"/>
      <c r="DWV5" s="94"/>
      <c r="DWW5" s="94"/>
      <c r="DWX5" s="94"/>
      <c r="DWY5" s="94"/>
      <c r="DWZ5" s="94"/>
      <c r="DXA5" s="94"/>
      <c r="DXB5" s="94"/>
      <c r="DXC5" s="94"/>
      <c r="DXD5" s="94"/>
      <c r="DXE5" s="94"/>
      <c r="DXF5" s="94"/>
      <c r="DXG5" s="94"/>
      <c r="DXH5" s="94"/>
      <c r="DXI5" s="94"/>
      <c r="DXJ5" s="94"/>
      <c r="DXK5" s="94"/>
      <c r="DXL5" s="94"/>
      <c r="DXM5" s="94"/>
      <c r="DXN5" s="94"/>
      <c r="DXO5" s="94"/>
      <c r="DXP5" s="94"/>
      <c r="DXQ5" s="94"/>
      <c r="DXR5" s="94"/>
      <c r="DXS5" s="94"/>
      <c r="DXT5" s="94"/>
      <c r="DXU5" s="94"/>
      <c r="DXV5" s="94"/>
      <c r="DXW5" s="94"/>
      <c r="DXX5" s="94"/>
      <c r="DXY5" s="94"/>
      <c r="DXZ5" s="94"/>
      <c r="DYA5" s="94"/>
      <c r="DYB5" s="94"/>
      <c r="DYC5" s="94"/>
      <c r="DYD5" s="94"/>
      <c r="DYE5" s="94"/>
      <c r="DYF5" s="94"/>
      <c r="DYG5" s="94"/>
      <c r="DYH5" s="94"/>
      <c r="DYI5" s="94"/>
      <c r="DYJ5" s="94"/>
      <c r="DYK5" s="94"/>
      <c r="DYL5" s="94"/>
      <c r="DYM5" s="94"/>
      <c r="DYN5" s="94"/>
      <c r="DYO5" s="94"/>
      <c r="DYP5" s="94"/>
      <c r="DYQ5" s="94"/>
      <c r="DYR5" s="94"/>
      <c r="DYS5" s="94"/>
      <c r="DYT5" s="94"/>
      <c r="DYU5" s="94"/>
      <c r="DYV5" s="94"/>
      <c r="DYW5" s="94"/>
      <c r="DYX5" s="94"/>
      <c r="DYY5" s="94"/>
      <c r="DYZ5" s="94"/>
      <c r="DZA5" s="94"/>
      <c r="DZB5" s="94"/>
      <c r="DZC5" s="94"/>
      <c r="DZD5" s="94"/>
      <c r="DZE5" s="94"/>
      <c r="DZF5" s="94"/>
      <c r="DZG5" s="94"/>
      <c r="DZH5" s="94"/>
      <c r="DZI5" s="94"/>
      <c r="DZJ5" s="94"/>
      <c r="DZK5" s="94"/>
      <c r="DZL5" s="94"/>
      <c r="DZM5" s="94"/>
      <c r="DZN5" s="94"/>
      <c r="DZO5" s="94"/>
      <c r="DZP5" s="94"/>
      <c r="DZQ5" s="94"/>
      <c r="DZR5" s="94"/>
      <c r="DZS5" s="94"/>
      <c r="DZT5" s="94"/>
      <c r="DZU5" s="94"/>
      <c r="DZV5" s="94"/>
      <c r="DZW5" s="94"/>
      <c r="DZX5" s="94"/>
      <c r="DZY5" s="94"/>
      <c r="DZZ5" s="94"/>
      <c r="EAA5" s="94"/>
      <c r="EAB5" s="94"/>
      <c r="EAC5" s="94"/>
      <c r="EAD5" s="94"/>
      <c r="EAE5" s="94"/>
      <c r="EAF5" s="94"/>
      <c r="EAG5" s="94"/>
      <c r="EAH5" s="94"/>
      <c r="EAI5" s="94"/>
      <c r="EAJ5" s="94"/>
      <c r="EAK5" s="94"/>
      <c r="EAL5" s="94"/>
      <c r="EAM5" s="94"/>
      <c r="EAN5" s="94"/>
      <c r="EAO5" s="94"/>
      <c r="EAP5" s="94"/>
      <c r="EAQ5" s="94"/>
      <c r="EAR5" s="94"/>
      <c r="EAS5" s="94"/>
      <c r="EAT5" s="94"/>
      <c r="EAU5" s="94"/>
      <c r="EAV5" s="94"/>
      <c r="EAW5" s="94"/>
      <c r="EAX5" s="94"/>
      <c r="EAY5" s="94"/>
      <c r="EAZ5" s="94"/>
      <c r="EBA5" s="94"/>
      <c r="EBB5" s="94"/>
      <c r="EBC5" s="94"/>
      <c r="EBD5" s="94"/>
      <c r="EBE5" s="94"/>
      <c r="EBF5" s="94"/>
      <c r="EBG5" s="94"/>
      <c r="EBH5" s="94"/>
      <c r="EBI5" s="94"/>
      <c r="EBJ5" s="94"/>
      <c r="EBK5" s="94"/>
      <c r="EBL5" s="94"/>
      <c r="EBM5" s="94"/>
      <c r="EBN5" s="94"/>
      <c r="EBO5" s="94"/>
      <c r="EBP5" s="94"/>
      <c r="EBQ5" s="94"/>
      <c r="EBR5" s="94"/>
      <c r="EBS5" s="94"/>
      <c r="EBT5" s="94"/>
      <c r="EBU5" s="94"/>
      <c r="EBV5" s="94"/>
      <c r="EBW5" s="94"/>
      <c r="EBX5" s="94"/>
      <c r="EBY5" s="94"/>
      <c r="EBZ5" s="94"/>
      <c r="ECA5" s="94"/>
      <c r="ECB5" s="94"/>
      <c r="ECC5" s="94"/>
      <c r="ECD5" s="94"/>
      <c r="ECE5" s="94"/>
      <c r="ECF5" s="94"/>
      <c r="ECG5" s="94"/>
      <c r="ECH5" s="94"/>
      <c r="ECI5" s="94"/>
      <c r="ECJ5" s="94"/>
      <c r="ECK5" s="94"/>
      <c r="ECL5" s="94"/>
      <c r="ECM5" s="94"/>
      <c r="ECN5" s="94"/>
      <c r="ECO5" s="94"/>
      <c r="ECP5" s="94"/>
      <c r="ECQ5" s="94"/>
      <c r="ECR5" s="94"/>
      <c r="ECS5" s="94"/>
      <c r="ECT5" s="94"/>
      <c r="ECU5" s="94"/>
      <c r="ECV5" s="94"/>
      <c r="ECW5" s="94"/>
      <c r="ECX5" s="94"/>
      <c r="ECY5" s="94"/>
      <c r="ECZ5" s="94"/>
      <c r="EDA5" s="94"/>
      <c r="EDB5" s="94"/>
      <c r="EDC5" s="94"/>
      <c r="EDD5" s="94"/>
      <c r="EDE5" s="94"/>
      <c r="EDF5" s="94"/>
      <c r="EDG5" s="94"/>
      <c r="EDH5" s="94"/>
      <c r="EDI5" s="94"/>
      <c r="EDJ5" s="94"/>
      <c r="EDK5" s="94"/>
      <c r="EDL5" s="94"/>
      <c r="EDM5" s="94"/>
      <c r="EDN5" s="94"/>
      <c r="EDO5" s="94"/>
      <c r="EDP5" s="94"/>
      <c r="EDQ5" s="94"/>
      <c r="EDR5" s="94"/>
      <c r="EDS5" s="94"/>
      <c r="EDT5" s="94"/>
      <c r="EDU5" s="94"/>
      <c r="EDV5" s="94"/>
      <c r="EDW5" s="94"/>
      <c r="EDX5" s="94"/>
      <c r="EDY5" s="94"/>
      <c r="EDZ5" s="94"/>
      <c r="EEA5" s="94"/>
      <c r="EEB5" s="94"/>
      <c r="EEC5" s="94"/>
      <c r="EED5" s="94"/>
      <c r="EEE5" s="94"/>
      <c r="EEF5" s="94"/>
      <c r="EEG5" s="94"/>
      <c r="EEH5" s="94"/>
      <c r="EEI5" s="94"/>
      <c r="EEJ5" s="94"/>
      <c r="EEK5" s="94"/>
      <c r="EEL5" s="94"/>
      <c r="EEM5" s="94"/>
      <c r="EEN5" s="94"/>
      <c r="EEO5" s="94"/>
      <c r="EEP5" s="94"/>
      <c r="EEQ5" s="94"/>
      <c r="EER5" s="94"/>
      <c r="EES5" s="94"/>
      <c r="EET5" s="94"/>
      <c r="EEU5" s="94"/>
      <c r="EEV5" s="94"/>
      <c r="EEW5" s="94"/>
      <c r="EEX5" s="94"/>
      <c r="EEY5" s="94"/>
      <c r="EEZ5" s="94"/>
      <c r="EFA5" s="94"/>
      <c r="EFB5" s="94"/>
      <c r="EFC5" s="94"/>
      <c r="EFD5" s="94"/>
      <c r="EFE5" s="94"/>
      <c r="EFF5" s="94"/>
      <c r="EFG5" s="94"/>
      <c r="EFH5" s="94"/>
      <c r="EFI5" s="94"/>
      <c r="EFJ5" s="94"/>
      <c r="EFK5" s="94"/>
      <c r="EFL5" s="94"/>
      <c r="EFM5" s="94"/>
      <c r="EFN5" s="94"/>
      <c r="EFO5" s="94"/>
      <c r="EFP5" s="94"/>
      <c r="EFQ5" s="94"/>
      <c r="EFR5" s="94"/>
      <c r="EFS5" s="94"/>
      <c r="EFT5" s="94"/>
      <c r="EFU5" s="94"/>
      <c r="EFV5" s="94"/>
      <c r="EFW5" s="94"/>
      <c r="EFX5" s="94"/>
      <c r="EFY5" s="94"/>
      <c r="EFZ5" s="94"/>
      <c r="EGA5" s="94"/>
      <c r="EGB5" s="94"/>
      <c r="EGC5" s="94"/>
      <c r="EGD5" s="94"/>
      <c r="EGE5" s="94"/>
      <c r="EGF5" s="94"/>
      <c r="EGG5" s="94"/>
      <c r="EGH5" s="94"/>
      <c r="EGI5" s="94"/>
      <c r="EGJ5" s="94"/>
      <c r="EGK5" s="94"/>
      <c r="EGL5" s="94"/>
      <c r="EGM5" s="94"/>
      <c r="EGN5" s="94"/>
      <c r="EGO5" s="94"/>
      <c r="EGP5" s="94"/>
      <c r="EGQ5" s="94"/>
      <c r="EGR5" s="94"/>
      <c r="EGS5" s="94"/>
      <c r="EGT5" s="94"/>
      <c r="EGU5" s="94"/>
      <c r="EGV5" s="94"/>
      <c r="EGW5" s="94"/>
      <c r="EGX5" s="94"/>
      <c r="EGY5" s="94"/>
      <c r="EGZ5" s="94"/>
      <c r="EHA5" s="94"/>
      <c r="EHB5" s="94"/>
      <c r="EHC5" s="94"/>
      <c r="EHD5" s="94"/>
      <c r="EHE5" s="94"/>
      <c r="EHF5" s="94"/>
      <c r="EHG5" s="94"/>
      <c r="EHH5" s="94"/>
      <c r="EHI5" s="94"/>
      <c r="EHJ5" s="94"/>
      <c r="EHK5" s="94"/>
      <c r="EHL5" s="94"/>
      <c r="EHM5" s="94"/>
      <c r="EHN5" s="94"/>
      <c r="EHO5" s="94"/>
      <c r="EHP5" s="94"/>
      <c r="EHQ5" s="94"/>
      <c r="EHR5" s="94"/>
      <c r="EHS5" s="94"/>
      <c r="EHT5" s="94"/>
      <c r="EHU5" s="94"/>
      <c r="EHV5" s="94"/>
      <c r="EHW5" s="94"/>
      <c r="EHX5" s="94"/>
      <c r="EHY5" s="94"/>
      <c r="EHZ5" s="94"/>
      <c r="EIA5" s="94"/>
      <c r="EIB5" s="94"/>
      <c r="EIC5" s="94"/>
      <c r="EID5" s="94"/>
      <c r="EIE5" s="94"/>
      <c r="EIF5" s="94"/>
      <c r="EIG5" s="94"/>
      <c r="EIH5" s="94"/>
      <c r="EII5" s="94"/>
      <c r="EIJ5" s="94"/>
      <c r="EIK5" s="94"/>
      <c r="EIL5" s="94"/>
      <c r="EIM5" s="94"/>
      <c r="EIN5" s="94"/>
      <c r="EIO5" s="94"/>
      <c r="EIP5" s="94"/>
      <c r="EIQ5" s="94"/>
      <c r="EIR5" s="94"/>
      <c r="EIS5" s="94"/>
      <c r="EIT5" s="94"/>
      <c r="EIU5" s="94"/>
      <c r="EIV5" s="94"/>
      <c r="EIW5" s="94"/>
      <c r="EIX5" s="94"/>
      <c r="EIY5" s="94"/>
      <c r="EIZ5" s="94"/>
      <c r="EJA5" s="94"/>
      <c r="EJB5" s="94"/>
      <c r="EJC5" s="94"/>
      <c r="EJD5" s="94"/>
      <c r="EJE5" s="94"/>
      <c r="EJF5" s="94"/>
      <c r="EJG5" s="94"/>
      <c r="EJH5" s="94"/>
      <c r="EJI5" s="94"/>
      <c r="EJJ5" s="94"/>
      <c r="EJK5" s="94"/>
      <c r="EJL5" s="94"/>
      <c r="EJM5" s="94"/>
      <c r="EJN5" s="94"/>
      <c r="EJO5" s="94"/>
      <c r="EJP5" s="94"/>
      <c r="EJQ5" s="94"/>
      <c r="EJR5" s="94"/>
      <c r="EJS5" s="94"/>
      <c r="EJT5" s="94"/>
      <c r="EJU5" s="94"/>
      <c r="EJV5" s="94"/>
      <c r="EJW5" s="94"/>
      <c r="EJX5" s="94"/>
      <c r="EJY5" s="94"/>
      <c r="EJZ5" s="94"/>
      <c r="EKA5" s="94"/>
      <c r="EKB5" s="94"/>
      <c r="EKC5" s="94"/>
      <c r="EKD5" s="94"/>
      <c r="EKE5" s="94"/>
      <c r="EKF5" s="94"/>
      <c r="EKG5" s="94"/>
      <c r="EKH5" s="94"/>
      <c r="EKI5" s="94"/>
      <c r="EKJ5" s="94"/>
      <c r="EKK5" s="94"/>
      <c r="EKL5" s="94"/>
      <c r="EKM5" s="94"/>
      <c r="EKN5" s="94"/>
      <c r="EKO5" s="94"/>
      <c r="EKP5" s="94"/>
      <c r="EKQ5" s="94"/>
      <c r="EKR5" s="94"/>
      <c r="EKS5" s="94"/>
      <c r="EKT5" s="94"/>
      <c r="EKU5" s="94"/>
      <c r="EKV5" s="94"/>
      <c r="EKW5" s="94"/>
      <c r="EKX5" s="94"/>
      <c r="EKY5" s="94"/>
      <c r="EKZ5" s="94"/>
      <c r="ELA5" s="94"/>
      <c r="ELB5" s="94"/>
      <c r="ELC5" s="94"/>
      <c r="ELD5" s="94"/>
      <c r="ELE5" s="94"/>
      <c r="ELF5" s="94"/>
      <c r="ELG5" s="94"/>
      <c r="ELH5" s="94"/>
      <c r="ELI5" s="94"/>
      <c r="ELJ5" s="94"/>
      <c r="ELK5" s="94"/>
      <c r="ELL5" s="94"/>
      <c r="ELM5" s="94"/>
      <c r="ELN5" s="94"/>
      <c r="ELO5" s="94"/>
      <c r="ELP5" s="94"/>
      <c r="ELQ5" s="94"/>
      <c r="ELR5" s="94"/>
      <c r="ELS5" s="94"/>
      <c r="ELT5" s="94"/>
      <c r="ELU5" s="94"/>
      <c r="ELV5" s="94"/>
      <c r="ELW5" s="94"/>
      <c r="ELX5" s="94"/>
      <c r="ELY5" s="94"/>
      <c r="ELZ5" s="94"/>
      <c r="EMA5" s="94"/>
      <c r="EMB5" s="94"/>
      <c r="EMC5" s="94"/>
      <c r="EMD5" s="94"/>
      <c r="EME5" s="94"/>
      <c r="EMF5" s="94"/>
      <c r="EMG5" s="94"/>
      <c r="EMH5" s="94"/>
      <c r="EMI5" s="94"/>
      <c r="EMJ5" s="94"/>
      <c r="EMK5" s="94"/>
      <c r="EML5" s="94"/>
      <c r="EMM5" s="94"/>
      <c r="EMN5" s="94"/>
      <c r="EMO5" s="94"/>
      <c r="EMP5" s="94"/>
      <c r="EMQ5" s="94"/>
      <c r="EMR5" s="94"/>
      <c r="EMS5" s="94"/>
      <c r="EMT5" s="94"/>
      <c r="EMU5" s="94"/>
      <c r="EMV5" s="94"/>
      <c r="EMW5" s="94"/>
      <c r="EMX5" s="94"/>
      <c r="EMY5" s="94"/>
      <c r="EMZ5" s="94"/>
      <c r="ENA5" s="94"/>
      <c r="ENB5" s="94"/>
      <c r="ENC5" s="94"/>
      <c r="END5" s="94"/>
      <c r="ENE5" s="94"/>
      <c r="ENF5" s="94"/>
      <c r="ENG5" s="94"/>
      <c r="ENH5" s="94"/>
      <c r="ENI5" s="94"/>
      <c r="ENJ5" s="94"/>
      <c r="ENK5" s="94"/>
      <c r="ENL5" s="94"/>
      <c r="ENM5" s="94"/>
      <c r="ENN5" s="94"/>
      <c r="ENO5" s="94"/>
      <c r="ENP5" s="94"/>
      <c r="ENQ5" s="94"/>
      <c r="ENR5" s="94"/>
      <c r="ENS5" s="94"/>
      <c r="ENT5" s="94"/>
      <c r="ENU5" s="94"/>
      <c r="ENV5" s="94"/>
      <c r="ENW5" s="94"/>
      <c r="ENX5" s="94"/>
      <c r="ENY5" s="94"/>
      <c r="ENZ5" s="94"/>
      <c r="EOA5" s="94"/>
      <c r="EOB5" s="94"/>
      <c r="EOC5" s="94"/>
      <c r="EOD5" s="94"/>
      <c r="EOE5" s="94"/>
      <c r="EOF5" s="94"/>
      <c r="EOG5" s="94"/>
      <c r="EOH5" s="94"/>
      <c r="EOI5" s="94"/>
      <c r="EOJ5" s="94"/>
      <c r="EOK5" s="94"/>
      <c r="EOL5" s="94"/>
      <c r="EOM5" s="94"/>
      <c r="EON5" s="94"/>
      <c r="EOO5" s="94"/>
      <c r="EOP5" s="94"/>
      <c r="EOQ5" s="94"/>
      <c r="EOR5" s="94"/>
      <c r="EOS5" s="94"/>
      <c r="EOT5" s="94"/>
      <c r="EOU5" s="94"/>
      <c r="EOV5" s="94"/>
      <c r="EOW5" s="94"/>
      <c r="EOX5" s="94"/>
      <c r="EOY5" s="94"/>
      <c r="EOZ5" s="94"/>
      <c r="EPA5" s="94"/>
      <c r="EPB5" s="94"/>
      <c r="EPC5" s="94"/>
      <c r="EPD5" s="94"/>
      <c r="EPE5" s="94"/>
      <c r="EPF5" s="94"/>
      <c r="EPG5" s="94"/>
      <c r="EPH5" s="94"/>
      <c r="EPI5" s="94"/>
      <c r="EPJ5" s="94"/>
      <c r="EPK5" s="94"/>
      <c r="EPL5" s="94"/>
      <c r="EPM5" s="94"/>
      <c r="EPN5" s="94"/>
      <c r="EPO5" s="94"/>
      <c r="EPP5" s="94"/>
      <c r="EPQ5" s="94"/>
      <c r="EPR5" s="94"/>
      <c r="EPS5" s="94"/>
      <c r="EPT5" s="94"/>
      <c r="EPU5" s="94"/>
      <c r="EPV5" s="94"/>
      <c r="EPW5" s="94"/>
      <c r="EPX5" s="94"/>
      <c r="EPY5" s="94"/>
      <c r="EPZ5" s="94"/>
      <c r="EQA5" s="94"/>
      <c r="EQB5" s="94"/>
      <c r="EQC5" s="94"/>
      <c r="EQD5" s="94"/>
      <c r="EQE5" s="94"/>
      <c r="EQF5" s="94"/>
      <c r="EQG5" s="94"/>
      <c r="EQH5" s="94"/>
      <c r="EQI5" s="94"/>
      <c r="EQJ5" s="94"/>
      <c r="EQK5" s="94"/>
      <c r="EQL5" s="94"/>
      <c r="EQM5" s="94"/>
      <c r="EQN5" s="94"/>
      <c r="EQO5" s="94"/>
      <c r="EQP5" s="94"/>
      <c r="EQQ5" s="94"/>
      <c r="EQR5" s="94"/>
      <c r="EQS5" s="94"/>
      <c r="EQT5" s="94"/>
      <c r="EQU5" s="94"/>
      <c r="EQV5" s="94"/>
      <c r="EQW5" s="94"/>
      <c r="EQX5" s="94"/>
      <c r="EQY5" s="94"/>
      <c r="EQZ5" s="94"/>
      <c r="ERA5" s="94"/>
      <c r="ERB5" s="94"/>
      <c r="ERC5" s="94"/>
      <c r="ERD5" s="94"/>
      <c r="ERE5" s="94"/>
      <c r="ERF5" s="94"/>
      <c r="ERG5" s="94"/>
      <c r="ERH5" s="94"/>
      <c r="ERI5" s="94"/>
      <c r="ERJ5" s="94"/>
      <c r="ERK5" s="94"/>
      <c r="ERL5" s="94"/>
      <c r="ERM5" s="94"/>
      <c r="ERN5" s="94"/>
      <c r="ERO5" s="94"/>
      <c r="ERP5" s="94"/>
      <c r="ERQ5" s="94"/>
      <c r="ERR5" s="94"/>
      <c r="ERS5" s="94"/>
      <c r="ERT5" s="94"/>
      <c r="ERU5" s="94"/>
      <c r="ERV5" s="94"/>
      <c r="ERW5" s="94"/>
      <c r="ERX5" s="94"/>
      <c r="ERY5" s="94"/>
      <c r="ERZ5" s="94"/>
      <c r="ESA5" s="94"/>
      <c r="ESB5" s="94"/>
      <c r="ESC5" s="94"/>
      <c r="ESD5" s="94"/>
      <c r="ESE5" s="94"/>
      <c r="ESF5" s="94"/>
      <c r="ESG5" s="94"/>
      <c r="ESH5" s="94"/>
      <c r="ESI5" s="94"/>
      <c r="ESJ5" s="94"/>
      <c r="ESK5" s="94"/>
      <c r="ESL5" s="94"/>
      <c r="ESM5" s="94"/>
      <c r="ESN5" s="94"/>
      <c r="ESO5" s="94"/>
      <c r="ESP5" s="94"/>
      <c r="ESQ5" s="94"/>
      <c r="ESR5" s="94"/>
      <c r="ESS5" s="94"/>
      <c r="EST5" s="94"/>
      <c r="ESU5" s="94"/>
      <c r="ESV5" s="94"/>
      <c r="ESW5" s="94"/>
      <c r="ESX5" s="94"/>
      <c r="ESY5" s="94"/>
      <c r="ESZ5" s="94"/>
      <c r="ETA5" s="94"/>
      <c r="ETB5" s="94"/>
      <c r="ETC5" s="94"/>
      <c r="ETD5" s="94"/>
      <c r="ETE5" s="94"/>
      <c r="ETF5" s="94"/>
      <c r="ETG5" s="94"/>
      <c r="ETH5" s="94"/>
      <c r="ETI5" s="94"/>
      <c r="ETJ5" s="94"/>
      <c r="ETK5" s="94"/>
      <c r="ETL5" s="94"/>
      <c r="ETM5" s="94"/>
      <c r="ETN5" s="94"/>
      <c r="ETO5" s="94"/>
      <c r="ETP5" s="94"/>
      <c r="ETQ5" s="94"/>
      <c r="ETR5" s="94"/>
      <c r="ETS5" s="94"/>
      <c r="ETT5" s="94"/>
      <c r="ETU5" s="94"/>
      <c r="ETV5" s="94"/>
      <c r="ETW5" s="94"/>
      <c r="ETX5" s="94"/>
      <c r="ETY5" s="94"/>
      <c r="ETZ5" s="94"/>
      <c r="EUA5" s="94"/>
      <c r="EUB5" s="94"/>
      <c r="EUC5" s="94"/>
      <c r="EUD5" s="94"/>
      <c r="EUE5" s="94"/>
      <c r="EUF5" s="94"/>
      <c r="EUG5" s="94"/>
      <c r="EUH5" s="94"/>
      <c r="EUI5" s="94"/>
      <c r="EUJ5" s="94"/>
      <c r="EUK5" s="94"/>
      <c r="EUL5" s="94"/>
      <c r="EUM5" s="94"/>
      <c r="EUN5" s="94"/>
      <c r="EUO5" s="94"/>
      <c r="EUP5" s="94"/>
      <c r="EUQ5" s="94"/>
      <c r="EUR5" s="94"/>
      <c r="EUS5" s="94"/>
      <c r="EUT5" s="94"/>
      <c r="EUU5" s="94"/>
      <c r="EUV5" s="94"/>
      <c r="EUW5" s="94"/>
      <c r="EUX5" s="94"/>
      <c r="EUY5" s="94"/>
      <c r="EUZ5" s="94"/>
      <c r="EVA5" s="94"/>
      <c r="EVB5" s="94"/>
      <c r="EVC5" s="94"/>
      <c r="EVD5" s="94"/>
      <c r="EVE5" s="94"/>
      <c r="EVF5" s="94"/>
      <c r="EVG5" s="94"/>
      <c r="EVH5" s="94"/>
      <c r="EVI5" s="94"/>
      <c r="EVJ5" s="94"/>
      <c r="EVK5" s="94"/>
      <c r="EVL5" s="94"/>
      <c r="EVM5" s="94"/>
      <c r="EVN5" s="94"/>
      <c r="EVO5" s="94"/>
      <c r="EVP5" s="94"/>
      <c r="EVQ5" s="94"/>
      <c r="EVR5" s="94"/>
      <c r="EVS5" s="94"/>
      <c r="EVT5" s="94"/>
      <c r="EVU5" s="94"/>
      <c r="EVV5" s="94"/>
      <c r="EVW5" s="94"/>
      <c r="EVX5" s="94"/>
      <c r="EVY5" s="94"/>
      <c r="EVZ5" s="94"/>
      <c r="EWA5" s="94"/>
      <c r="EWB5" s="94"/>
      <c r="EWC5" s="94"/>
      <c r="EWD5" s="94"/>
      <c r="EWE5" s="94"/>
      <c r="EWF5" s="94"/>
      <c r="EWG5" s="94"/>
      <c r="EWH5" s="94"/>
      <c r="EWI5" s="94"/>
      <c r="EWJ5" s="94"/>
      <c r="EWK5" s="94"/>
      <c r="EWL5" s="94"/>
      <c r="EWM5" s="94"/>
      <c r="EWN5" s="94"/>
      <c r="EWO5" s="94"/>
      <c r="EWP5" s="94"/>
      <c r="EWQ5" s="94"/>
      <c r="EWR5" s="94"/>
      <c r="EWS5" s="94"/>
      <c r="EWT5" s="94"/>
      <c r="EWU5" s="94"/>
      <c r="EWV5" s="94"/>
      <c r="EWW5" s="94"/>
      <c r="EWX5" s="94"/>
      <c r="EWY5" s="94"/>
      <c r="EWZ5" s="94"/>
      <c r="EXA5" s="94"/>
      <c r="EXB5" s="94"/>
      <c r="EXC5" s="94"/>
      <c r="EXD5" s="94"/>
      <c r="EXE5" s="94"/>
      <c r="EXF5" s="94"/>
      <c r="EXG5" s="94"/>
      <c r="EXH5" s="94"/>
      <c r="EXI5" s="94"/>
      <c r="EXJ5" s="94"/>
      <c r="EXK5" s="94"/>
      <c r="EXL5" s="94"/>
      <c r="EXM5" s="94"/>
      <c r="EXN5" s="94"/>
      <c r="EXO5" s="94"/>
      <c r="EXP5" s="94"/>
      <c r="EXQ5" s="94"/>
      <c r="EXR5" s="94"/>
      <c r="EXS5" s="94"/>
      <c r="EXT5" s="94"/>
      <c r="EXU5" s="94"/>
      <c r="EXV5" s="94"/>
      <c r="EXW5" s="94"/>
      <c r="EXX5" s="94"/>
      <c r="EXY5" s="94"/>
      <c r="EXZ5" s="94"/>
      <c r="EYA5" s="94"/>
      <c r="EYB5" s="94"/>
      <c r="EYC5" s="94"/>
      <c r="EYD5" s="94"/>
      <c r="EYE5" s="94"/>
      <c r="EYF5" s="94"/>
      <c r="EYG5" s="94"/>
      <c r="EYH5" s="94"/>
      <c r="EYI5" s="94"/>
      <c r="EYJ5" s="94"/>
      <c r="EYK5" s="94"/>
      <c r="EYL5" s="94"/>
      <c r="EYM5" s="94"/>
      <c r="EYN5" s="94"/>
      <c r="EYO5" s="94"/>
      <c r="EYP5" s="94"/>
      <c r="EYQ5" s="94"/>
      <c r="EYR5" s="94"/>
      <c r="EYS5" s="94"/>
      <c r="EYT5" s="94"/>
      <c r="EYU5" s="94"/>
      <c r="EYV5" s="94"/>
      <c r="EYW5" s="94"/>
      <c r="EYX5" s="94"/>
      <c r="EYY5" s="94"/>
      <c r="EYZ5" s="94"/>
      <c r="EZA5" s="94"/>
      <c r="EZB5" s="94"/>
      <c r="EZC5" s="94"/>
      <c r="EZD5" s="94"/>
      <c r="EZE5" s="94"/>
      <c r="EZF5" s="94"/>
      <c r="EZG5" s="94"/>
      <c r="EZH5" s="94"/>
      <c r="EZI5" s="94"/>
      <c r="EZJ5" s="94"/>
      <c r="EZK5" s="94"/>
      <c r="EZL5" s="94"/>
      <c r="EZM5" s="94"/>
      <c r="EZN5" s="94"/>
      <c r="EZO5" s="94"/>
      <c r="EZP5" s="94"/>
      <c r="EZQ5" s="94"/>
      <c r="EZR5" s="94"/>
      <c r="EZS5" s="94"/>
      <c r="EZT5" s="94"/>
      <c r="EZU5" s="94"/>
      <c r="EZV5" s="94"/>
      <c r="EZW5" s="94"/>
      <c r="EZX5" s="94"/>
      <c r="EZY5" s="94"/>
      <c r="EZZ5" s="94"/>
      <c r="FAA5" s="94"/>
      <c r="FAB5" s="94"/>
      <c r="FAC5" s="94"/>
      <c r="FAD5" s="94"/>
      <c r="FAE5" s="94"/>
      <c r="FAF5" s="94"/>
      <c r="FAG5" s="94"/>
      <c r="FAH5" s="94"/>
      <c r="FAI5" s="94"/>
      <c r="FAJ5" s="94"/>
      <c r="FAK5" s="94"/>
      <c r="FAL5" s="94"/>
      <c r="FAM5" s="94"/>
      <c r="FAN5" s="94"/>
      <c r="FAO5" s="94"/>
      <c r="FAP5" s="94"/>
      <c r="FAQ5" s="94"/>
      <c r="FAR5" s="94"/>
      <c r="FAS5" s="94"/>
      <c r="FAT5" s="94"/>
      <c r="FAU5" s="94"/>
      <c r="FAV5" s="94"/>
      <c r="FAW5" s="94"/>
      <c r="FAX5" s="94"/>
      <c r="FAY5" s="94"/>
      <c r="FAZ5" s="94"/>
      <c r="FBA5" s="94"/>
      <c r="FBB5" s="94"/>
      <c r="FBC5" s="94"/>
      <c r="FBD5" s="94"/>
      <c r="FBE5" s="94"/>
      <c r="FBF5" s="94"/>
      <c r="FBG5" s="94"/>
      <c r="FBH5" s="94"/>
      <c r="FBI5" s="94"/>
      <c r="FBJ5" s="94"/>
      <c r="FBK5" s="94"/>
      <c r="FBL5" s="94"/>
      <c r="FBM5" s="94"/>
      <c r="FBN5" s="94"/>
      <c r="FBO5" s="94"/>
      <c r="FBP5" s="94"/>
      <c r="FBQ5" s="94"/>
      <c r="FBR5" s="94"/>
      <c r="FBS5" s="94"/>
      <c r="FBT5" s="94"/>
      <c r="FBU5" s="94"/>
      <c r="FBV5" s="94"/>
      <c r="FBW5" s="94"/>
      <c r="FBX5" s="94"/>
      <c r="FBY5" s="94"/>
      <c r="FBZ5" s="94"/>
      <c r="FCA5" s="94"/>
      <c r="FCB5" s="94"/>
      <c r="FCC5" s="94"/>
      <c r="FCD5" s="94"/>
      <c r="FCE5" s="94"/>
      <c r="FCF5" s="94"/>
      <c r="FCG5" s="94"/>
      <c r="FCH5" s="94"/>
      <c r="FCI5" s="94"/>
      <c r="FCJ5" s="94"/>
      <c r="FCK5" s="94"/>
      <c r="FCL5" s="94"/>
      <c r="FCM5" s="94"/>
      <c r="FCN5" s="94"/>
      <c r="FCO5" s="94"/>
      <c r="FCP5" s="94"/>
      <c r="FCQ5" s="94"/>
      <c r="FCR5" s="94"/>
      <c r="FCS5" s="94"/>
      <c r="FCT5" s="94"/>
      <c r="FCU5" s="94"/>
      <c r="FCV5" s="94"/>
      <c r="FCW5" s="94"/>
      <c r="FCX5" s="94"/>
      <c r="FCY5" s="94"/>
      <c r="FCZ5" s="94"/>
      <c r="FDA5" s="94"/>
      <c r="FDB5" s="94"/>
      <c r="FDC5" s="94"/>
      <c r="FDD5" s="94"/>
      <c r="FDE5" s="94"/>
      <c r="FDF5" s="94"/>
      <c r="FDG5" s="94"/>
      <c r="FDH5" s="94"/>
      <c r="FDI5" s="94"/>
      <c r="FDJ5" s="94"/>
      <c r="FDK5" s="94"/>
      <c r="FDL5" s="94"/>
      <c r="FDM5" s="94"/>
      <c r="FDN5" s="94"/>
      <c r="FDO5" s="94"/>
      <c r="FDP5" s="94"/>
      <c r="FDQ5" s="94"/>
      <c r="FDR5" s="94"/>
      <c r="FDS5" s="94"/>
      <c r="FDT5" s="94"/>
      <c r="FDU5" s="94"/>
      <c r="FDV5" s="94"/>
      <c r="FDW5" s="94"/>
      <c r="FDX5" s="94"/>
      <c r="FDY5" s="94"/>
      <c r="FDZ5" s="94"/>
      <c r="FEA5" s="94"/>
      <c r="FEB5" s="94"/>
      <c r="FEC5" s="94"/>
      <c r="FED5" s="94"/>
      <c r="FEE5" s="94"/>
      <c r="FEF5" s="94"/>
      <c r="FEG5" s="94"/>
      <c r="FEH5" s="94"/>
      <c r="FEI5" s="94"/>
      <c r="FEJ5" s="94"/>
      <c r="FEK5" s="94"/>
      <c r="FEL5" s="94"/>
      <c r="FEM5" s="94"/>
      <c r="FEN5" s="94"/>
      <c r="FEO5" s="94"/>
      <c r="FEP5" s="94"/>
      <c r="FEQ5" s="94"/>
      <c r="FER5" s="94"/>
      <c r="FES5" s="94"/>
      <c r="FET5" s="94"/>
      <c r="FEU5" s="94"/>
      <c r="FEV5" s="94"/>
      <c r="FEW5" s="94"/>
      <c r="FEX5" s="94"/>
      <c r="FEY5" s="94"/>
      <c r="FEZ5" s="94"/>
      <c r="FFA5" s="94"/>
      <c r="FFB5" s="94"/>
      <c r="FFC5" s="94"/>
      <c r="FFD5" s="94"/>
      <c r="FFE5" s="94"/>
      <c r="FFF5" s="94"/>
      <c r="FFG5" s="94"/>
      <c r="FFH5" s="94"/>
      <c r="FFI5" s="94"/>
      <c r="FFJ5" s="94"/>
      <c r="FFK5" s="94"/>
      <c r="FFL5" s="94"/>
      <c r="FFM5" s="94"/>
      <c r="FFN5" s="94"/>
      <c r="FFO5" s="94"/>
      <c r="FFP5" s="94"/>
      <c r="FFQ5" s="94"/>
      <c r="FFR5" s="94"/>
      <c r="FFS5" s="94"/>
      <c r="FFT5" s="94"/>
      <c r="FFU5" s="94"/>
      <c r="FFV5" s="94"/>
      <c r="FFW5" s="94"/>
      <c r="FFX5" s="94"/>
      <c r="FFY5" s="94"/>
      <c r="FFZ5" s="94"/>
      <c r="FGA5" s="94"/>
      <c r="FGB5" s="94"/>
      <c r="FGC5" s="94"/>
      <c r="FGD5" s="94"/>
      <c r="FGE5" s="94"/>
      <c r="FGF5" s="94"/>
      <c r="FGG5" s="94"/>
      <c r="FGH5" s="94"/>
      <c r="FGI5" s="94"/>
      <c r="FGJ5" s="94"/>
      <c r="FGK5" s="94"/>
      <c r="FGL5" s="94"/>
      <c r="FGM5" s="94"/>
      <c r="FGN5" s="94"/>
      <c r="FGO5" s="94"/>
      <c r="FGP5" s="94"/>
      <c r="FGQ5" s="94"/>
      <c r="FGR5" s="94"/>
      <c r="FGS5" s="94"/>
      <c r="FGT5" s="94"/>
      <c r="FGU5" s="94"/>
      <c r="FGV5" s="94"/>
      <c r="FGW5" s="94"/>
      <c r="FGX5" s="94"/>
      <c r="FGY5" s="94"/>
      <c r="FGZ5" s="94"/>
      <c r="FHA5" s="94"/>
      <c r="FHB5" s="94"/>
      <c r="FHC5" s="94"/>
      <c r="FHD5" s="94"/>
      <c r="FHE5" s="94"/>
      <c r="FHF5" s="94"/>
      <c r="FHG5" s="94"/>
      <c r="FHH5" s="94"/>
      <c r="FHI5" s="94"/>
      <c r="FHJ5" s="94"/>
      <c r="FHK5" s="94"/>
      <c r="FHL5" s="94"/>
      <c r="FHM5" s="94"/>
      <c r="FHN5" s="94"/>
      <c r="FHO5" s="94"/>
      <c r="FHP5" s="94"/>
      <c r="FHQ5" s="94"/>
      <c r="FHR5" s="94"/>
      <c r="FHS5" s="94"/>
      <c r="FHT5" s="94"/>
      <c r="FHU5" s="94"/>
      <c r="FHV5" s="94"/>
      <c r="FHW5" s="94"/>
      <c r="FHX5" s="94"/>
      <c r="FHY5" s="94"/>
      <c r="FHZ5" s="94"/>
      <c r="FIA5" s="94"/>
      <c r="FIB5" s="94"/>
      <c r="FIC5" s="94"/>
      <c r="FID5" s="94"/>
      <c r="FIE5" s="94"/>
      <c r="FIF5" s="94"/>
      <c r="FIG5" s="94"/>
      <c r="FIH5" s="94"/>
      <c r="FII5" s="94"/>
      <c r="FIJ5" s="94"/>
      <c r="FIK5" s="94"/>
      <c r="FIL5" s="94"/>
      <c r="FIM5" s="94"/>
      <c r="FIN5" s="94"/>
      <c r="FIO5" s="94"/>
      <c r="FIP5" s="94"/>
      <c r="FIQ5" s="94"/>
      <c r="FIR5" s="94"/>
      <c r="FIS5" s="94"/>
      <c r="FIT5" s="94"/>
      <c r="FIU5" s="94"/>
      <c r="FIV5" s="94"/>
      <c r="FIW5" s="94"/>
      <c r="FIX5" s="94"/>
      <c r="FIY5" s="94"/>
      <c r="FIZ5" s="94"/>
      <c r="FJA5" s="94"/>
      <c r="FJB5" s="94"/>
      <c r="FJC5" s="94"/>
      <c r="FJD5" s="94"/>
      <c r="FJE5" s="94"/>
      <c r="FJF5" s="94"/>
      <c r="FJG5" s="94"/>
      <c r="FJH5" s="94"/>
      <c r="FJI5" s="94"/>
      <c r="FJJ5" s="94"/>
      <c r="FJK5" s="94"/>
      <c r="FJL5" s="94"/>
      <c r="FJM5" s="94"/>
      <c r="FJN5" s="94"/>
      <c r="FJO5" s="94"/>
      <c r="FJP5" s="94"/>
      <c r="FJQ5" s="94"/>
      <c r="FJR5" s="94"/>
      <c r="FJS5" s="94"/>
      <c r="FJT5" s="94"/>
      <c r="FJU5" s="94"/>
      <c r="FJV5" s="94"/>
      <c r="FJW5" s="94"/>
      <c r="FJX5" s="94"/>
      <c r="FJY5" s="94"/>
      <c r="FJZ5" s="94"/>
      <c r="FKA5" s="94"/>
      <c r="FKB5" s="94"/>
      <c r="FKC5" s="94"/>
      <c r="FKD5" s="94"/>
      <c r="FKE5" s="94"/>
      <c r="FKF5" s="94"/>
      <c r="FKG5" s="94"/>
      <c r="FKH5" s="94"/>
      <c r="FKI5" s="94"/>
      <c r="FKJ5" s="94"/>
      <c r="FKK5" s="94"/>
      <c r="FKL5" s="94"/>
      <c r="FKM5" s="94"/>
      <c r="FKN5" s="94"/>
      <c r="FKO5" s="94"/>
      <c r="FKP5" s="94"/>
      <c r="FKQ5" s="94"/>
      <c r="FKR5" s="94"/>
      <c r="FKS5" s="94"/>
      <c r="FKT5" s="94"/>
      <c r="FKU5" s="94"/>
      <c r="FKV5" s="94"/>
      <c r="FKW5" s="94"/>
      <c r="FKX5" s="94"/>
      <c r="FKY5" s="94"/>
      <c r="FKZ5" s="94"/>
      <c r="FLA5" s="94"/>
      <c r="FLB5" s="94"/>
      <c r="FLC5" s="94"/>
      <c r="FLD5" s="94"/>
      <c r="FLE5" s="94"/>
      <c r="FLF5" s="94"/>
      <c r="FLG5" s="94"/>
      <c r="FLH5" s="94"/>
      <c r="FLI5" s="94"/>
      <c r="FLJ5" s="94"/>
      <c r="FLK5" s="94"/>
      <c r="FLL5" s="94"/>
      <c r="FLM5" s="94"/>
      <c r="FLN5" s="94"/>
      <c r="FLO5" s="94"/>
      <c r="FLP5" s="94"/>
      <c r="FLQ5" s="94"/>
      <c r="FLR5" s="94"/>
      <c r="FLS5" s="94"/>
      <c r="FLT5" s="94"/>
      <c r="FLU5" s="94"/>
      <c r="FLV5" s="94"/>
      <c r="FLW5" s="94"/>
      <c r="FLX5" s="94"/>
      <c r="FLY5" s="94"/>
      <c r="FLZ5" s="94"/>
      <c r="FMA5" s="94"/>
      <c r="FMB5" s="94"/>
      <c r="FMC5" s="94"/>
      <c r="FMD5" s="94"/>
      <c r="FME5" s="94"/>
      <c r="FMF5" s="94"/>
      <c r="FMG5" s="94"/>
      <c r="FMH5" s="94"/>
      <c r="FMI5" s="94"/>
      <c r="FMJ5" s="94"/>
      <c r="FMK5" s="94"/>
      <c r="FML5" s="94"/>
      <c r="FMM5" s="94"/>
      <c r="FMN5" s="94"/>
      <c r="FMO5" s="94"/>
      <c r="FMP5" s="94"/>
      <c r="FMQ5" s="94"/>
      <c r="FMR5" s="94"/>
      <c r="FMS5" s="94"/>
      <c r="FMT5" s="94"/>
      <c r="FMU5" s="94"/>
      <c r="FMV5" s="94"/>
      <c r="FMW5" s="94"/>
      <c r="FMX5" s="94"/>
      <c r="FMY5" s="94"/>
      <c r="FMZ5" s="94"/>
      <c r="FNA5" s="94"/>
      <c r="FNB5" s="94"/>
      <c r="FNC5" s="94"/>
      <c r="FND5" s="94"/>
      <c r="FNE5" s="94"/>
      <c r="FNF5" s="94"/>
      <c r="FNG5" s="94"/>
      <c r="FNH5" s="94"/>
      <c r="FNI5" s="94"/>
      <c r="FNJ5" s="94"/>
      <c r="FNK5" s="94"/>
      <c r="FNL5" s="94"/>
      <c r="FNM5" s="94"/>
      <c r="FNN5" s="94"/>
      <c r="FNO5" s="94"/>
      <c r="FNP5" s="94"/>
      <c r="FNQ5" s="94"/>
      <c r="FNR5" s="94"/>
      <c r="FNS5" s="94"/>
      <c r="FNT5" s="94"/>
      <c r="FNU5" s="94"/>
      <c r="FNV5" s="94"/>
      <c r="FNW5" s="94"/>
      <c r="FNX5" s="94"/>
      <c r="FNY5" s="94"/>
      <c r="FNZ5" s="94"/>
      <c r="FOA5" s="94"/>
      <c r="FOB5" s="94"/>
      <c r="FOC5" s="94"/>
      <c r="FOD5" s="94"/>
      <c r="FOE5" s="94"/>
      <c r="FOF5" s="94"/>
      <c r="FOG5" s="94"/>
      <c r="FOH5" s="94"/>
      <c r="FOI5" s="94"/>
      <c r="FOJ5" s="94"/>
      <c r="FOK5" s="94"/>
      <c r="FOL5" s="94"/>
      <c r="FOM5" s="94"/>
      <c r="FON5" s="94"/>
      <c r="FOO5" s="94"/>
      <c r="FOP5" s="94"/>
      <c r="FOQ5" s="94"/>
      <c r="FOR5" s="94"/>
      <c r="FOS5" s="94"/>
      <c r="FOT5" s="94"/>
      <c r="FOU5" s="94"/>
      <c r="FOV5" s="94"/>
      <c r="FOW5" s="94"/>
      <c r="FOX5" s="94"/>
      <c r="FOY5" s="94"/>
      <c r="FOZ5" s="94"/>
      <c r="FPA5" s="94"/>
      <c r="FPB5" s="94"/>
      <c r="FPC5" s="94"/>
      <c r="FPD5" s="94"/>
      <c r="FPE5" s="94"/>
      <c r="FPF5" s="94"/>
      <c r="FPG5" s="94"/>
      <c r="FPH5" s="94"/>
      <c r="FPI5" s="94"/>
      <c r="FPJ5" s="94"/>
      <c r="FPK5" s="94"/>
      <c r="FPL5" s="94"/>
      <c r="FPM5" s="94"/>
      <c r="FPN5" s="94"/>
      <c r="FPO5" s="94"/>
      <c r="FPP5" s="94"/>
      <c r="FPQ5" s="94"/>
      <c r="FPR5" s="94"/>
      <c r="FPS5" s="94"/>
      <c r="FPT5" s="94"/>
      <c r="FPU5" s="94"/>
      <c r="FPV5" s="94"/>
      <c r="FPW5" s="94"/>
      <c r="FPX5" s="94"/>
      <c r="FPY5" s="94"/>
      <c r="FPZ5" s="94"/>
      <c r="FQA5" s="94"/>
      <c r="FQB5" s="94"/>
      <c r="FQC5" s="94"/>
      <c r="FQD5" s="94"/>
      <c r="FQE5" s="94"/>
      <c r="FQF5" s="94"/>
      <c r="FQG5" s="94"/>
      <c r="FQH5" s="94"/>
      <c r="FQI5" s="94"/>
      <c r="FQJ5" s="94"/>
      <c r="FQK5" s="94"/>
      <c r="FQL5" s="94"/>
      <c r="FQM5" s="94"/>
      <c r="FQN5" s="94"/>
      <c r="FQO5" s="94"/>
      <c r="FQP5" s="94"/>
      <c r="FQQ5" s="94"/>
      <c r="FQR5" s="94"/>
      <c r="FQS5" s="94"/>
      <c r="FQT5" s="94"/>
      <c r="FQU5" s="94"/>
      <c r="FQV5" s="94"/>
      <c r="FQW5" s="94"/>
      <c r="FQX5" s="94"/>
      <c r="FQY5" s="94"/>
      <c r="FQZ5" s="94"/>
      <c r="FRA5" s="94"/>
      <c r="FRB5" s="94"/>
      <c r="FRC5" s="94"/>
      <c r="FRD5" s="94"/>
      <c r="FRE5" s="94"/>
      <c r="FRF5" s="94"/>
      <c r="FRG5" s="94"/>
      <c r="FRH5" s="94"/>
      <c r="FRI5" s="94"/>
      <c r="FRJ5" s="94"/>
      <c r="FRK5" s="94"/>
      <c r="FRL5" s="94"/>
      <c r="FRM5" s="94"/>
      <c r="FRN5" s="94"/>
      <c r="FRO5" s="94"/>
      <c r="FRP5" s="94"/>
      <c r="FRQ5" s="94"/>
      <c r="FRR5" s="94"/>
      <c r="FRS5" s="94"/>
      <c r="FRT5" s="94"/>
      <c r="FRU5" s="94"/>
      <c r="FRV5" s="94"/>
      <c r="FRW5" s="94"/>
      <c r="FRX5" s="94"/>
      <c r="FRY5" s="94"/>
      <c r="FRZ5" s="94"/>
      <c r="FSA5" s="94"/>
      <c r="FSB5" s="94"/>
      <c r="FSC5" s="94"/>
      <c r="FSD5" s="94"/>
      <c r="FSE5" s="94"/>
      <c r="FSF5" s="94"/>
      <c r="FSG5" s="94"/>
      <c r="FSH5" s="94"/>
      <c r="FSI5" s="94"/>
      <c r="FSJ5" s="94"/>
      <c r="FSK5" s="94"/>
      <c r="FSL5" s="94"/>
      <c r="FSM5" s="94"/>
      <c r="FSN5" s="94"/>
      <c r="FSO5" s="94"/>
      <c r="FSP5" s="94"/>
      <c r="FSQ5" s="94"/>
      <c r="FSR5" s="94"/>
      <c r="FSS5" s="94"/>
      <c r="FST5" s="94"/>
      <c r="FSU5" s="94"/>
      <c r="FSV5" s="94"/>
      <c r="FSW5" s="94"/>
      <c r="FSX5" s="94"/>
      <c r="FSY5" s="94"/>
      <c r="FSZ5" s="94"/>
      <c r="FTA5" s="94"/>
      <c r="FTB5" s="94"/>
      <c r="FTC5" s="94"/>
      <c r="FTD5" s="94"/>
      <c r="FTE5" s="94"/>
      <c r="FTF5" s="94"/>
      <c r="FTG5" s="94"/>
      <c r="FTH5" s="94"/>
      <c r="FTI5" s="94"/>
      <c r="FTJ5" s="94"/>
      <c r="FTK5" s="94"/>
      <c r="FTL5" s="94"/>
      <c r="FTM5" s="94"/>
      <c r="FTN5" s="94"/>
      <c r="FTO5" s="94"/>
      <c r="FTP5" s="94"/>
      <c r="FTQ5" s="94"/>
      <c r="FTR5" s="94"/>
      <c r="FTS5" s="94"/>
      <c r="FTT5" s="94"/>
      <c r="FTU5" s="94"/>
      <c r="FTV5" s="94"/>
      <c r="FTW5" s="94"/>
      <c r="FTX5" s="94"/>
      <c r="FTY5" s="94"/>
      <c r="FTZ5" s="94"/>
      <c r="FUA5" s="94"/>
      <c r="FUB5" s="94"/>
      <c r="FUC5" s="94"/>
      <c r="FUD5" s="94"/>
      <c r="FUE5" s="94"/>
      <c r="FUF5" s="94"/>
      <c r="FUG5" s="94"/>
      <c r="FUH5" s="94"/>
      <c r="FUI5" s="94"/>
      <c r="FUJ5" s="94"/>
      <c r="FUK5" s="94"/>
      <c r="FUL5" s="94"/>
      <c r="FUM5" s="94"/>
      <c r="FUN5" s="94"/>
      <c r="FUO5" s="94"/>
      <c r="FUP5" s="94"/>
      <c r="FUQ5" s="94"/>
      <c r="FUR5" s="94"/>
      <c r="FUS5" s="94"/>
      <c r="FUT5" s="94"/>
      <c r="FUU5" s="94"/>
      <c r="FUV5" s="94"/>
      <c r="FUW5" s="94"/>
      <c r="FUX5" s="94"/>
      <c r="FUY5" s="94"/>
      <c r="FUZ5" s="94"/>
      <c r="FVA5" s="94"/>
      <c r="FVB5" s="94"/>
      <c r="FVC5" s="94"/>
      <c r="FVD5" s="94"/>
      <c r="FVE5" s="94"/>
      <c r="FVF5" s="94"/>
      <c r="FVG5" s="94"/>
      <c r="FVH5" s="94"/>
      <c r="FVI5" s="94"/>
      <c r="FVJ5" s="94"/>
      <c r="FVK5" s="94"/>
      <c r="FVL5" s="94"/>
      <c r="FVM5" s="94"/>
      <c r="FVN5" s="94"/>
      <c r="FVO5" s="94"/>
      <c r="FVP5" s="94"/>
      <c r="FVQ5" s="94"/>
      <c r="FVR5" s="94"/>
      <c r="FVS5" s="94"/>
      <c r="FVT5" s="94"/>
      <c r="FVU5" s="94"/>
      <c r="FVV5" s="94"/>
      <c r="FVW5" s="94"/>
      <c r="FVX5" s="94"/>
      <c r="FVY5" s="94"/>
      <c r="FVZ5" s="94"/>
      <c r="FWA5" s="94"/>
      <c r="FWB5" s="94"/>
      <c r="FWC5" s="94"/>
      <c r="FWD5" s="94"/>
      <c r="FWE5" s="94"/>
      <c r="FWF5" s="94"/>
      <c r="FWG5" s="94"/>
      <c r="FWH5" s="94"/>
      <c r="FWI5" s="94"/>
      <c r="FWJ5" s="94"/>
      <c r="FWK5" s="94"/>
      <c r="FWL5" s="94"/>
      <c r="FWM5" s="94"/>
      <c r="FWN5" s="94"/>
      <c r="FWO5" s="94"/>
      <c r="FWP5" s="94"/>
      <c r="FWQ5" s="94"/>
      <c r="FWR5" s="94"/>
      <c r="FWS5" s="94"/>
      <c r="FWT5" s="94"/>
      <c r="FWU5" s="94"/>
      <c r="FWV5" s="94"/>
      <c r="FWW5" s="94"/>
      <c r="FWX5" s="94"/>
      <c r="FWY5" s="94"/>
      <c r="FWZ5" s="94"/>
      <c r="FXA5" s="94"/>
      <c r="FXB5" s="94"/>
      <c r="FXC5" s="94"/>
      <c r="FXD5" s="94"/>
      <c r="FXE5" s="94"/>
      <c r="FXF5" s="94"/>
      <c r="FXG5" s="94"/>
      <c r="FXH5" s="94"/>
      <c r="FXI5" s="94"/>
      <c r="FXJ5" s="94"/>
      <c r="FXK5" s="94"/>
      <c r="FXL5" s="94"/>
      <c r="FXM5" s="94"/>
      <c r="FXN5" s="94"/>
      <c r="FXO5" s="94"/>
      <c r="FXP5" s="94"/>
      <c r="FXQ5" s="94"/>
      <c r="FXR5" s="94"/>
      <c r="FXS5" s="94"/>
      <c r="FXT5" s="94"/>
      <c r="FXU5" s="94"/>
      <c r="FXV5" s="94"/>
      <c r="FXW5" s="94"/>
      <c r="FXX5" s="94"/>
      <c r="FXY5" s="94"/>
      <c r="FXZ5" s="94"/>
      <c r="FYA5" s="94"/>
      <c r="FYB5" s="94"/>
      <c r="FYC5" s="94"/>
      <c r="FYD5" s="94"/>
      <c r="FYE5" s="94"/>
      <c r="FYF5" s="94"/>
      <c r="FYG5" s="94"/>
      <c r="FYH5" s="94"/>
      <c r="FYI5" s="94"/>
      <c r="FYJ5" s="94"/>
      <c r="FYK5" s="94"/>
      <c r="FYL5" s="94"/>
      <c r="FYM5" s="94"/>
      <c r="FYN5" s="94"/>
      <c r="FYO5" s="94"/>
      <c r="FYP5" s="94"/>
      <c r="FYQ5" s="94"/>
      <c r="FYR5" s="94"/>
      <c r="FYS5" s="94"/>
      <c r="FYT5" s="94"/>
      <c r="FYU5" s="94"/>
      <c r="FYV5" s="94"/>
      <c r="FYW5" s="94"/>
      <c r="FYX5" s="94"/>
      <c r="FYY5" s="94"/>
      <c r="FYZ5" s="94"/>
      <c r="FZA5" s="94"/>
      <c r="FZB5" s="94"/>
      <c r="FZC5" s="94"/>
      <c r="FZD5" s="94"/>
      <c r="FZE5" s="94"/>
      <c r="FZF5" s="94"/>
      <c r="FZG5" s="94"/>
      <c r="FZH5" s="94"/>
      <c r="FZI5" s="94"/>
      <c r="FZJ5" s="94"/>
      <c r="FZK5" s="94"/>
      <c r="FZL5" s="94"/>
      <c r="FZM5" s="94"/>
      <c r="FZN5" s="94"/>
      <c r="FZO5" s="94"/>
      <c r="FZP5" s="94"/>
      <c r="FZQ5" s="94"/>
      <c r="FZR5" s="94"/>
      <c r="FZS5" s="94"/>
      <c r="FZT5" s="94"/>
      <c r="FZU5" s="94"/>
      <c r="FZV5" s="94"/>
      <c r="FZW5" s="94"/>
      <c r="FZX5" s="94"/>
      <c r="FZY5" s="94"/>
      <c r="FZZ5" s="94"/>
      <c r="GAA5" s="94"/>
      <c r="GAB5" s="94"/>
      <c r="GAC5" s="94"/>
      <c r="GAD5" s="94"/>
      <c r="GAE5" s="94"/>
      <c r="GAF5" s="94"/>
      <c r="GAG5" s="94"/>
      <c r="GAH5" s="94"/>
      <c r="GAI5" s="94"/>
      <c r="GAJ5" s="94"/>
      <c r="GAK5" s="94"/>
      <c r="GAL5" s="94"/>
      <c r="GAM5" s="94"/>
      <c r="GAN5" s="94"/>
      <c r="GAO5" s="94"/>
      <c r="GAP5" s="94"/>
      <c r="GAQ5" s="94"/>
      <c r="GAR5" s="94"/>
      <c r="GAS5" s="94"/>
      <c r="GAT5" s="94"/>
      <c r="GAU5" s="94"/>
      <c r="GAV5" s="94"/>
      <c r="GAW5" s="94"/>
      <c r="GAX5" s="94"/>
      <c r="GAY5" s="94"/>
      <c r="GAZ5" s="94"/>
      <c r="GBA5" s="94"/>
      <c r="GBB5" s="94"/>
      <c r="GBC5" s="94"/>
      <c r="GBD5" s="94"/>
      <c r="GBE5" s="94"/>
      <c r="GBF5" s="94"/>
      <c r="GBG5" s="94"/>
      <c r="GBH5" s="94"/>
      <c r="GBI5" s="94"/>
      <c r="GBJ5" s="94"/>
      <c r="GBK5" s="94"/>
      <c r="GBL5" s="94"/>
      <c r="GBM5" s="94"/>
      <c r="GBN5" s="94"/>
      <c r="GBO5" s="94"/>
      <c r="GBP5" s="94"/>
      <c r="GBQ5" s="94"/>
      <c r="GBR5" s="94"/>
      <c r="GBS5" s="94"/>
      <c r="GBT5" s="94"/>
      <c r="GBU5" s="94"/>
      <c r="GBV5" s="94"/>
      <c r="GBW5" s="94"/>
      <c r="GBX5" s="94"/>
      <c r="GBY5" s="94"/>
      <c r="GBZ5" s="94"/>
      <c r="GCA5" s="94"/>
      <c r="GCB5" s="94"/>
      <c r="GCC5" s="94"/>
      <c r="GCD5" s="94"/>
      <c r="GCE5" s="94"/>
      <c r="GCF5" s="94"/>
      <c r="GCG5" s="94"/>
      <c r="GCH5" s="94"/>
      <c r="GCI5" s="94"/>
      <c r="GCJ5" s="94"/>
      <c r="GCK5" s="94"/>
      <c r="GCL5" s="94"/>
      <c r="GCM5" s="94"/>
      <c r="GCN5" s="94"/>
      <c r="GCO5" s="94"/>
      <c r="GCP5" s="94"/>
      <c r="GCQ5" s="94"/>
      <c r="GCR5" s="94"/>
      <c r="GCS5" s="94"/>
      <c r="GCT5" s="94"/>
      <c r="GCU5" s="94"/>
      <c r="GCV5" s="94"/>
      <c r="GCW5" s="94"/>
      <c r="GCX5" s="94"/>
      <c r="GCY5" s="94"/>
      <c r="GCZ5" s="94"/>
      <c r="GDA5" s="94"/>
      <c r="GDB5" s="94"/>
      <c r="GDC5" s="94"/>
      <c r="GDD5" s="94"/>
      <c r="GDE5" s="94"/>
      <c r="GDF5" s="94"/>
      <c r="GDG5" s="94"/>
      <c r="GDH5" s="94"/>
      <c r="GDI5" s="94"/>
      <c r="GDJ5" s="94"/>
      <c r="GDK5" s="94"/>
      <c r="GDL5" s="94"/>
      <c r="GDM5" s="94"/>
      <c r="GDN5" s="94"/>
      <c r="GDO5" s="94"/>
      <c r="GDP5" s="94"/>
      <c r="GDQ5" s="94"/>
      <c r="GDR5" s="94"/>
      <c r="GDS5" s="94"/>
      <c r="GDT5" s="94"/>
      <c r="GDU5" s="94"/>
      <c r="GDV5" s="94"/>
      <c r="GDW5" s="94"/>
      <c r="GDX5" s="94"/>
      <c r="GDY5" s="94"/>
      <c r="GDZ5" s="94"/>
      <c r="GEA5" s="94"/>
      <c r="GEB5" s="94"/>
      <c r="GEC5" s="94"/>
      <c r="GED5" s="94"/>
      <c r="GEE5" s="94"/>
      <c r="GEF5" s="94"/>
      <c r="GEG5" s="94"/>
      <c r="GEH5" s="94"/>
      <c r="GEI5" s="94"/>
      <c r="GEJ5" s="94"/>
      <c r="GEK5" s="94"/>
      <c r="GEL5" s="94"/>
      <c r="GEM5" s="94"/>
      <c r="GEN5" s="94"/>
      <c r="GEO5" s="94"/>
      <c r="GEP5" s="94"/>
      <c r="GEQ5" s="94"/>
      <c r="GER5" s="94"/>
      <c r="GES5" s="94"/>
      <c r="GET5" s="94"/>
      <c r="GEU5" s="94"/>
      <c r="GEV5" s="94"/>
      <c r="GEW5" s="94"/>
      <c r="GEX5" s="94"/>
      <c r="GEY5" s="94"/>
      <c r="GEZ5" s="94"/>
      <c r="GFA5" s="94"/>
      <c r="GFB5" s="94"/>
      <c r="GFC5" s="94"/>
      <c r="GFD5" s="94"/>
      <c r="GFE5" s="94"/>
      <c r="GFF5" s="94"/>
      <c r="GFG5" s="94"/>
      <c r="GFH5" s="94"/>
      <c r="GFI5" s="94"/>
      <c r="GFJ5" s="94"/>
      <c r="GFK5" s="94"/>
      <c r="GFL5" s="94"/>
      <c r="GFM5" s="94"/>
      <c r="GFN5" s="94"/>
      <c r="GFO5" s="94"/>
      <c r="GFP5" s="94"/>
      <c r="GFQ5" s="94"/>
      <c r="GFR5" s="94"/>
      <c r="GFS5" s="94"/>
      <c r="GFT5" s="94"/>
      <c r="GFU5" s="94"/>
      <c r="GFV5" s="94"/>
      <c r="GFW5" s="94"/>
      <c r="GFX5" s="94"/>
      <c r="GFY5" s="94"/>
      <c r="GFZ5" s="94"/>
      <c r="GGA5" s="94"/>
      <c r="GGB5" s="94"/>
      <c r="GGC5" s="94"/>
      <c r="GGD5" s="94"/>
      <c r="GGE5" s="94"/>
      <c r="GGF5" s="94"/>
      <c r="GGG5" s="94"/>
      <c r="GGH5" s="94"/>
      <c r="GGI5" s="94"/>
      <c r="GGJ5" s="94"/>
      <c r="GGK5" s="94"/>
      <c r="GGL5" s="94"/>
      <c r="GGM5" s="94"/>
      <c r="GGN5" s="94"/>
      <c r="GGO5" s="94"/>
      <c r="GGP5" s="94"/>
      <c r="GGQ5" s="94"/>
      <c r="GGR5" s="94"/>
      <c r="GGS5" s="94"/>
      <c r="GGT5" s="94"/>
      <c r="GGU5" s="94"/>
      <c r="GGV5" s="94"/>
      <c r="GGW5" s="94"/>
      <c r="GGX5" s="94"/>
      <c r="GGY5" s="94"/>
      <c r="GGZ5" s="94"/>
      <c r="GHA5" s="94"/>
      <c r="GHB5" s="94"/>
      <c r="GHC5" s="94"/>
      <c r="GHD5" s="94"/>
      <c r="GHE5" s="94"/>
      <c r="GHF5" s="94"/>
      <c r="GHG5" s="94"/>
      <c r="GHH5" s="94"/>
      <c r="GHI5" s="94"/>
      <c r="GHJ5" s="94"/>
      <c r="GHK5" s="94"/>
      <c r="GHL5" s="94"/>
      <c r="GHM5" s="94"/>
      <c r="GHN5" s="94"/>
      <c r="GHO5" s="94"/>
      <c r="GHP5" s="94"/>
      <c r="GHQ5" s="94"/>
      <c r="GHR5" s="94"/>
      <c r="GHS5" s="94"/>
      <c r="GHT5" s="94"/>
      <c r="GHU5" s="94"/>
      <c r="GHV5" s="94"/>
      <c r="GHW5" s="94"/>
      <c r="GHX5" s="94"/>
      <c r="GHY5" s="94"/>
      <c r="GHZ5" s="94"/>
      <c r="GIA5" s="94"/>
      <c r="GIB5" s="94"/>
      <c r="GIC5" s="94"/>
      <c r="GID5" s="94"/>
      <c r="GIE5" s="94"/>
      <c r="GIF5" s="94"/>
      <c r="GIG5" s="94"/>
      <c r="GIH5" s="94"/>
      <c r="GII5" s="94"/>
      <c r="GIJ5" s="94"/>
      <c r="GIK5" s="94"/>
      <c r="GIL5" s="94"/>
      <c r="GIM5" s="94"/>
      <c r="GIN5" s="94"/>
      <c r="GIO5" s="94"/>
      <c r="GIP5" s="94"/>
      <c r="GIQ5" s="94"/>
      <c r="GIR5" s="94"/>
      <c r="GIS5" s="94"/>
      <c r="GIT5" s="94"/>
      <c r="GIU5" s="94"/>
      <c r="GIV5" s="94"/>
      <c r="GIW5" s="94"/>
      <c r="GIX5" s="94"/>
      <c r="GIY5" s="94"/>
      <c r="GIZ5" s="94"/>
      <c r="GJA5" s="94"/>
      <c r="GJB5" s="94"/>
      <c r="GJC5" s="94"/>
      <c r="GJD5" s="94"/>
      <c r="GJE5" s="94"/>
      <c r="GJF5" s="94"/>
      <c r="GJG5" s="94"/>
      <c r="GJH5" s="94"/>
      <c r="GJI5" s="94"/>
      <c r="GJJ5" s="94"/>
      <c r="GJK5" s="94"/>
      <c r="GJL5" s="94"/>
      <c r="GJM5" s="94"/>
      <c r="GJN5" s="94"/>
      <c r="GJO5" s="94"/>
      <c r="GJP5" s="94"/>
      <c r="GJQ5" s="94"/>
      <c r="GJR5" s="94"/>
      <c r="GJS5" s="94"/>
      <c r="GJT5" s="94"/>
      <c r="GJU5" s="94"/>
      <c r="GJV5" s="94"/>
      <c r="GJW5" s="94"/>
      <c r="GJX5" s="94"/>
      <c r="GJY5" s="94"/>
      <c r="GJZ5" s="94"/>
      <c r="GKA5" s="94"/>
      <c r="GKB5" s="94"/>
      <c r="GKC5" s="94"/>
      <c r="GKD5" s="94"/>
      <c r="GKE5" s="94"/>
      <c r="GKF5" s="94"/>
      <c r="GKG5" s="94"/>
      <c r="GKH5" s="94"/>
      <c r="GKI5" s="94"/>
      <c r="GKJ5" s="94"/>
      <c r="GKK5" s="94"/>
      <c r="GKL5" s="94"/>
      <c r="GKM5" s="94"/>
      <c r="GKN5" s="94"/>
      <c r="GKO5" s="94"/>
      <c r="GKP5" s="94"/>
      <c r="GKQ5" s="94"/>
      <c r="GKR5" s="94"/>
      <c r="GKS5" s="94"/>
      <c r="GKT5" s="94"/>
      <c r="GKU5" s="94"/>
      <c r="GKV5" s="94"/>
      <c r="GKW5" s="94"/>
      <c r="GKX5" s="94"/>
      <c r="GKY5" s="94"/>
      <c r="GKZ5" s="94"/>
      <c r="GLA5" s="94"/>
      <c r="GLB5" s="94"/>
      <c r="GLC5" s="94"/>
      <c r="GLD5" s="94"/>
      <c r="GLE5" s="94"/>
      <c r="GLF5" s="94"/>
      <c r="GLG5" s="94"/>
      <c r="GLH5" s="94"/>
      <c r="GLI5" s="94"/>
      <c r="GLJ5" s="94"/>
      <c r="GLK5" s="94"/>
      <c r="GLL5" s="94"/>
      <c r="GLM5" s="94"/>
      <c r="GLN5" s="94"/>
      <c r="GLO5" s="94"/>
      <c r="GLP5" s="94"/>
      <c r="GLQ5" s="94"/>
      <c r="GLR5" s="94"/>
      <c r="GLS5" s="94"/>
      <c r="GLT5" s="94"/>
      <c r="GLU5" s="94"/>
      <c r="GLV5" s="94"/>
      <c r="GLW5" s="94"/>
      <c r="GLX5" s="94"/>
      <c r="GLY5" s="94"/>
      <c r="GLZ5" s="94"/>
      <c r="GMA5" s="94"/>
      <c r="GMB5" s="94"/>
      <c r="GMC5" s="94"/>
      <c r="GMD5" s="94"/>
      <c r="GME5" s="94"/>
      <c r="GMF5" s="94"/>
      <c r="GMG5" s="94"/>
      <c r="GMH5" s="94"/>
      <c r="GMI5" s="94"/>
      <c r="GMJ5" s="94"/>
      <c r="GMK5" s="94"/>
      <c r="GML5" s="94"/>
      <c r="GMM5" s="94"/>
      <c r="GMN5" s="94"/>
      <c r="GMO5" s="94"/>
      <c r="GMP5" s="94"/>
      <c r="GMQ5" s="94"/>
      <c r="GMR5" s="94"/>
      <c r="GMS5" s="94"/>
      <c r="GMT5" s="94"/>
      <c r="GMU5" s="94"/>
      <c r="GMV5" s="94"/>
      <c r="GMW5" s="94"/>
      <c r="GMX5" s="94"/>
      <c r="GMY5" s="94"/>
      <c r="GMZ5" s="94"/>
      <c r="GNA5" s="94"/>
      <c r="GNB5" s="94"/>
      <c r="GNC5" s="94"/>
      <c r="GND5" s="94"/>
      <c r="GNE5" s="94"/>
      <c r="GNF5" s="94"/>
      <c r="GNG5" s="94"/>
      <c r="GNH5" s="94"/>
      <c r="GNI5" s="94"/>
      <c r="GNJ5" s="94"/>
      <c r="GNK5" s="94"/>
      <c r="GNL5" s="94"/>
      <c r="GNM5" s="94"/>
      <c r="GNN5" s="94"/>
      <c r="GNO5" s="94"/>
      <c r="GNP5" s="94"/>
      <c r="GNQ5" s="94"/>
      <c r="GNR5" s="94"/>
      <c r="GNS5" s="94"/>
      <c r="GNT5" s="94"/>
      <c r="GNU5" s="94"/>
      <c r="GNV5" s="94"/>
      <c r="GNW5" s="94"/>
      <c r="GNX5" s="94"/>
      <c r="GNY5" s="94"/>
      <c r="GNZ5" s="94"/>
      <c r="GOA5" s="94"/>
      <c r="GOB5" s="94"/>
      <c r="GOC5" s="94"/>
      <c r="GOD5" s="94"/>
      <c r="GOE5" s="94"/>
      <c r="GOF5" s="94"/>
      <c r="GOG5" s="94"/>
      <c r="GOH5" s="94"/>
      <c r="GOI5" s="94"/>
      <c r="GOJ5" s="94"/>
      <c r="GOK5" s="94"/>
      <c r="GOL5" s="94"/>
      <c r="GOM5" s="94"/>
      <c r="GON5" s="94"/>
      <c r="GOO5" s="94"/>
      <c r="GOP5" s="94"/>
      <c r="GOQ5" s="94"/>
      <c r="GOR5" s="94"/>
      <c r="GOS5" s="94"/>
      <c r="GOT5" s="94"/>
      <c r="GOU5" s="94"/>
      <c r="GOV5" s="94"/>
      <c r="GOW5" s="94"/>
      <c r="GOX5" s="94"/>
      <c r="GOY5" s="94"/>
      <c r="GOZ5" s="94"/>
      <c r="GPA5" s="94"/>
      <c r="GPB5" s="94"/>
      <c r="GPC5" s="94"/>
      <c r="GPD5" s="94"/>
      <c r="GPE5" s="94"/>
      <c r="GPF5" s="94"/>
      <c r="GPG5" s="94"/>
      <c r="GPH5" s="94"/>
      <c r="GPI5" s="94"/>
      <c r="GPJ5" s="94"/>
      <c r="GPK5" s="94"/>
      <c r="GPL5" s="94"/>
      <c r="GPM5" s="94"/>
      <c r="GPN5" s="94"/>
      <c r="GPO5" s="94"/>
      <c r="GPP5" s="94"/>
      <c r="GPQ5" s="94"/>
      <c r="GPR5" s="94"/>
      <c r="GPS5" s="94"/>
      <c r="GPT5" s="94"/>
      <c r="GPU5" s="94"/>
      <c r="GPV5" s="94"/>
      <c r="GPW5" s="94"/>
      <c r="GPX5" s="94"/>
      <c r="GPY5" s="94"/>
      <c r="GPZ5" s="94"/>
      <c r="GQA5" s="94"/>
      <c r="GQB5" s="94"/>
      <c r="GQC5" s="94"/>
      <c r="GQD5" s="94"/>
      <c r="GQE5" s="94"/>
      <c r="GQF5" s="94"/>
      <c r="GQG5" s="94"/>
      <c r="GQH5" s="94"/>
      <c r="GQI5" s="94"/>
      <c r="GQJ5" s="94"/>
      <c r="GQK5" s="94"/>
      <c r="GQL5" s="94"/>
      <c r="GQM5" s="94"/>
      <c r="GQN5" s="94"/>
      <c r="GQO5" s="94"/>
      <c r="GQP5" s="94"/>
      <c r="GQQ5" s="94"/>
      <c r="GQR5" s="94"/>
      <c r="GQS5" s="94"/>
      <c r="GQT5" s="94"/>
      <c r="GQU5" s="94"/>
      <c r="GQV5" s="94"/>
      <c r="GQW5" s="94"/>
      <c r="GQX5" s="94"/>
      <c r="GQY5" s="94"/>
      <c r="GQZ5" s="94"/>
      <c r="GRA5" s="94"/>
      <c r="GRB5" s="94"/>
      <c r="GRC5" s="94"/>
      <c r="GRD5" s="94"/>
      <c r="GRE5" s="94"/>
      <c r="GRF5" s="94"/>
      <c r="GRG5" s="94"/>
      <c r="GRH5" s="94"/>
      <c r="GRI5" s="94"/>
      <c r="GRJ5" s="94"/>
      <c r="GRK5" s="94"/>
      <c r="GRL5" s="94"/>
      <c r="GRM5" s="94"/>
      <c r="GRN5" s="94"/>
      <c r="GRO5" s="94"/>
      <c r="GRP5" s="94"/>
      <c r="GRQ5" s="94"/>
      <c r="GRR5" s="94"/>
      <c r="GRS5" s="94"/>
      <c r="GRT5" s="94"/>
      <c r="GRU5" s="94"/>
      <c r="GRV5" s="94"/>
      <c r="GRW5" s="94"/>
      <c r="GRX5" s="94"/>
      <c r="GRY5" s="94"/>
      <c r="GRZ5" s="94"/>
      <c r="GSA5" s="94"/>
      <c r="GSB5" s="94"/>
      <c r="GSC5" s="94"/>
      <c r="GSD5" s="94"/>
      <c r="GSE5" s="94"/>
      <c r="GSF5" s="94"/>
      <c r="GSG5" s="94"/>
      <c r="GSH5" s="94"/>
      <c r="GSI5" s="94"/>
      <c r="GSJ5" s="94"/>
      <c r="GSK5" s="94"/>
      <c r="GSL5" s="94"/>
      <c r="GSM5" s="94"/>
      <c r="GSN5" s="94"/>
      <c r="GSO5" s="94"/>
      <c r="GSP5" s="94"/>
      <c r="GSQ5" s="94"/>
      <c r="GSR5" s="94"/>
      <c r="GSS5" s="94"/>
      <c r="GST5" s="94"/>
      <c r="GSU5" s="94"/>
      <c r="GSV5" s="94"/>
      <c r="GSW5" s="94"/>
      <c r="GSX5" s="94"/>
      <c r="GSY5" s="94"/>
      <c r="GSZ5" s="94"/>
      <c r="GTA5" s="94"/>
      <c r="GTB5" s="94"/>
      <c r="GTC5" s="94"/>
      <c r="GTD5" s="94"/>
      <c r="GTE5" s="94"/>
      <c r="GTF5" s="94"/>
      <c r="GTG5" s="94"/>
      <c r="GTH5" s="94"/>
      <c r="GTI5" s="94"/>
      <c r="GTJ5" s="94"/>
      <c r="GTK5" s="94"/>
      <c r="GTL5" s="94"/>
      <c r="GTM5" s="94"/>
      <c r="GTN5" s="94"/>
      <c r="GTO5" s="94"/>
      <c r="GTP5" s="94"/>
      <c r="GTQ5" s="94"/>
      <c r="GTR5" s="94"/>
      <c r="GTS5" s="94"/>
      <c r="GTT5" s="94"/>
      <c r="GTU5" s="94"/>
      <c r="GTV5" s="94"/>
      <c r="GTW5" s="94"/>
      <c r="GTX5" s="94"/>
      <c r="GTY5" s="94"/>
      <c r="GTZ5" s="94"/>
      <c r="GUA5" s="94"/>
      <c r="GUB5" s="94"/>
      <c r="GUC5" s="94"/>
      <c r="GUD5" s="94"/>
      <c r="GUE5" s="94"/>
      <c r="GUF5" s="94"/>
      <c r="GUG5" s="94"/>
      <c r="GUH5" s="94"/>
      <c r="GUI5" s="94"/>
      <c r="GUJ5" s="94"/>
      <c r="GUK5" s="94"/>
      <c r="GUL5" s="94"/>
      <c r="GUM5" s="94"/>
      <c r="GUN5" s="94"/>
      <c r="GUO5" s="94"/>
      <c r="GUP5" s="94"/>
      <c r="GUQ5" s="94"/>
      <c r="GUR5" s="94"/>
      <c r="GUS5" s="94"/>
      <c r="GUT5" s="94"/>
      <c r="GUU5" s="94"/>
      <c r="GUV5" s="94"/>
      <c r="GUW5" s="94"/>
      <c r="GUX5" s="94"/>
      <c r="GUY5" s="94"/>
      <c r="GUZ5" s="94"/>
      <c r="GVA5" s="94"/>
      <c r="GVB5" s="94"/>
      <c r="GVC5" s="94"/>
      <c r="GVD5" s="94"/>
      <c r="GVE5" s="94"/>
      <c r="GVF5" s="94"/>
      <c r="GVG5" s="94"/>
      <c r="GVH5" s="94"/>
      <c r="GVI5" s="94"/>
      <c r="GVJ5" s="94"/>
      <c r="GVK5" s="94"/>
      <c r="GVL5" s="94"/>
      <c r="GVM5" s="94"/>
      <c r="GVN5" s="94"/>
      <c r="GVO5" s="94"/>
      <c r="GVP5" s="94"/>
      <c r="GVQ5" s="94"/>
      <c r="GVR5" s="94"/>
      <c r="GVS5" s="94"/>
      <c r="GVT5" s="94"/>
      <c r="GVU5" s="94"/>
      <c r="GVV5" s="94"/>
      <c r="GVW5" s="94"/>
      <c r="GVX5" s="94"/>
      <c r="GVY5" s="94"/>
      <c r="GVZ5" s="94"/>
      <c r="GWA5" s="94"/>
      <c r="GWB5" s="94"/>
      <c r="GWC5" s="94"/>
      <c r="GWD5" s="94"/>
      <c r="GWE5" s="94"/>
      <c r="GWF5" s="94"/>
      <c r="GWG5" s="94"/>
      <c r="GWH5" s="94"/>
      <c r="GWI5" s="94"/>
      <c r="GWJ5" s="94"/>
      <c r="GWK5" s="94"/>
      <c r="GWL5" s="94"/>
      <c r="GWM5" s="94"/>
      <c r="GWN5" s="94"/>
      <c r="GWO5" s="94"/>
      <c r="GWP5" s="94"/>
      <c r="GWQ5" s="94"/>
      <c r="GWR5" s="94"/>
      <c r="GWS5" s="94"/>
      <c r="GWT5" s="94"/>
      <c r="GWU5" s="94"/>
      <c r="GWV5" s="94"/>
      <c r="GWW5" s="94"/>
      <c r="GWX5" s="94"/>
      <c r="GWY5" s="94"/>
      <c r="GWZ5" s="94"/>
      <c r="GXA5" s="94"/>
      <c r="GXB5" s="94"/>
      <c r="GXC5" s="94"/>
      <c r="GXD5" s="94"/>
      <c r="GXE5" s="94"/>
      <c r="GXF5" s="94"/>
      <c r="GXG5" s="94"/>
      <c r="GXH5" s="94"/>
      <c r="GXI5" s="94"/>
      <c r="GXJ5" s="94"/>
      <c r="GXK5" s="94"/>
      <c r="GXL5" s="94"/>
      <c r="GXM5" s="94"/>
      <c r="GXN5" s="94"/>
      <c r="GXO5" s="94"/>
      <c r="GXP5" s="94"/>
      <c r="GXQ5" s="94"/>
      <c r="GXR5" s="94"/>
      <c r="GXS5" s="94"/>
      <c r="GXT5" s="94"/>
      <c r="GXU5" s="94"/>
      <c r="GXV5" s="94"/>
      <c r="GXW5" s="94"/>
      <c r="GXX5" s="94"/>
      <c r="GXY5" s="94"/>
      <c r="GXZ5" s="94"/>
      <c r="GYA5" s="94"/>
      <c r="GYB5" s="94"/>
      <c r="GYC5" s="94"/>
      <c r="GYD5" s="94"/>
      <c r="GYE5" s="94"/>
      <c r="GYF5" s="94"/>
      <c r="GYG5" s="94"/>
      <c r="GYH5" s="94"/>
      <c r="GYI5" s="94"/>
      <c r="GYJ5" s="94"/>
      <c r="GYK5" s="94"/>
      <c r="GYL5" s="94"/>
      <c r="GYM5" s="94"/>
      <c r="GYN5" s="94"/>
      <c r="GYO5" s="94"/>
      <c r="GYP5" s="94"/>
      <c r="GYQ5" s="94"/>
      <c r="GYR5" s="94"/>
      <c r="GYS5" s="94"/>
      <c r="GYT5" s="94"/>
      <c r="GYU5" s="94"/>
      <c r="GYV5" s="94"/>
      <c r="GYW5" s="94"/>
      <c r="GYX5" s="94"/>
      <c r="GYY5" s="94"/>
      <c r="GYZ5" s="94"/>
      <c r="GZA5" s="94"/>
      <c r="GZB5" s="94"/>
      <c r="GZC5" s="94"/>
      <c r="GZD5" s="94"/>
      <c r="GZE5" s="94"/>
      <c r="GZF5" s="94"/>
      <c r="GZG5" s="94"/>
      <c r="GZH5" s="94"/>
      <c r="GZI5" s="94"/>
      <c r="GZJ5" s="94"/>
      <c r="GZK5" s="94"/>
      <c r="GZL5" s="94"/>
      <c r="GZM5" s="94"/>
      <c r="GZN5" s="94"/>
      <c r="GZO5" s="94"/>
      <c r="GZP5" s="94"/>
      <c r="GZQ5" s="94"/>
      <c r="GZR5" s="94"/>
      <c r="GZS5" s="94"/>
      <c r="GZT5" s="94"/>
      <c r="GZU5" s="94"/>
      <c r="GZV5" s="94"/>
      <c r="GZW5" s="94"/>
      <c r="GZX5" s="94"/>
      <c r="GZY5" s="94"/>
      <c r="GZZ5" s="94"/>
      <c r="HAA5" s="94"/>
      <c r="HAB5" s="94"/>
      <c r="HAC5" s="94"/>
      <c r="HAD5" s="94"/>
      <c r="HAE5" s="94"/>
      <c r="HAF5" s="94"/>
      <c r="HAG5" s="94"/>
      <c r="HAH5" s="94"/>
      <c r="HAI5" s="94"/>
      <c r="HAJ5" s="94"/>
      <c r="HAK5" s="94"/>
      <c r="HAL5" s="94"/>
      <c r="HAM5" s="94"/>
      <c r="HAN5" s="94"/>
      <c r="HAO5" s="94"/>
      <c r="HAP5" s="94"/>
      <c r="HAQ5" s="94"/>
      <c r="HAR5" s="94"/>
      <c r="HAS5" s="94"/>
      <c r="HAT5" s="94"/>
      <c r="HAU5" s="94"/>
      <c r="HAV5" s="94"/>
      <c r="HAW5" s="94"/>
      <c r="HAX5" s="94"/>
      <c r="HAY5" s="94"/>
      <c r="HAZ5" s="94"/>
      <c r="HBA5" s="94"/>
      <c r="HBB5" s="94"/>
      <c r="HBC5" s="94"/>
      <c r="HBD5" s="94"/>
      <c r="HBE5" s="94"/>
      <c r="HBF5" s="94"/>
      <c r="HBG5" s="94"/>
      <c r="HBH5" s="94"/>
      <c r="HBI5" s="94"/>
      <c r="HBJ5" s="94"/>
      <c r="HBK5" s="94"/>
      <c r="HBL5" s="94"/>
      <c r="HBM5" s="94"/>
      <c r="HBN5" s="94"/>
      <c r="HBO5" s="94"/>
      <c r="HBP5" s="94"/>
      <c r="HBQ5" s="94"/>
      <c r="HBR5" s="94"/>
      <c r="HBS5" s="94"/>
      <c r="HBT5" s="94"/>
      <c r="HBU5" s="94"/>
      <c r="HBV5" s="94"/>
      <c r="HBW5" s="94"/>
      <c r="HBX5" s="94"/>
      <c r="HBY5" s="94"/>
      <c r="HBZ5" s="94"/>
      <c r="HCA5" s="94"/>
      <c r="HCB5" s="94"/>
      <c r="HCC5" s="94"/>
      <c r="HCD5" s="94"/>
      <c r="HCE5" s="94"/>
      <c r="HCF5" s="94"/>
      <c r="HCG5" s="94"/>
      <c r="HCH5" s="94"/>
      <c r="HCI5" s="94"/>
      <c r="HCJ5" s="94"/>
      <c r="HCK5" s="94"/>
      <c r="HCL5" s="94"/>
      <c r="HCM5" s="94"/>
      <c r="HCN5" s="94"/>
      <c r="HCO5" s="94"/>
      <c r="HCP5" s="94"/>
      <c r="HCQ5" s="94"/>
      <c r="HCR5" s="94"/>
      <c r="HCS5" s="94"/>
      <c r="HCT5" s="94"/>
      <c r="HCU5" s="94"/>
      <c r="HCV5" s="94"/>
      <c r="HCW5" s="94"/>
      <c r="HCX5" s="94"/>
      <c r="HCY5" s="94"/>
      <c r="HCZ5" s="94"/>
      <c r="HDA5" s="94"/>
      <c r="HDB5" s="94"/>
      <c r="HDC5" s="94"/>
      <c r="HDD5" s="94"/>
      <c r="HDE5" s="94"/>
      <c r="HDF5" s="94"/>
      <c r="HDG5" s="94"/>
      <c r="HDH5" s="94"/>
      <c r="HDI5" s="94"/>
      <c r="HDJ5" s="94"/>
      <c r="HDK5" s="94"/>
      <c r="HDL5" s="94"/>
      <c r="HDM5" s="94"/>
      <c r="HDN5" s="94"/>
      <c r="HDO5" s="94"/>
      <c r="HDP5" s="94"/>
      <c r="HDQ5" s="94"/>
      <c r="HDR5" s="94"/>
      <c r="HDS5" s="94"/>
      <c r="HDT5" s="94"/>
      <c r="HDU5" s="94"/>
      <c r="HDV5" s="94"/>
      <c r="HDW5" s="94"/>
      <c r="HDX5" s="94"/>
      <c r="HDY5" s="94"/>
      <c r="HDZ5" s="94"/>
      <c r="HEA5" s="94"/>
      <c r="HEB5" s="94"/>
      <c r="HEC5" s="94"/>
      <c r="HED5" s="94"/>
      <c r="HEE5" s="94"/>
      <c r="HEF5" s="94"/>
      <c r="HEG5" s="94"/>
      <c r="HEH5" s="94"/>
      <c r="HEI5" s="94"/>
      <c r="HEJ5" s="94"/>
      <c r="HEK5" s="94"/>
      <c r="HEL5" s="94"/>
      <c r="HEM5" s="94"/>
      <c r="HEN5" s="94"/>
      <c r="HEO5" s="94"/>
      <c r="HEP5" s="94"/>
      <c r="HEQ5" s="94"/>
      <c r="HER5" s="94"/>
      <c r="HES5" s="94"/>
      <c r="HET5" s="94"/>
      <c r="HEU5" s="94"/>
      <c r="HEV5" s="94"/>
      <c r="HEW5" s="94"/>
      <c r="HEX5" s="94"/>
      <c r="HEY5" s="94"/>
      <c r="HEZ5" s="94"/>
      <c r="HFA5" s="94"/>
      <c r="HFB5" s="94"/>
      <c r="HFC5" s="94"/>
      <c r="HFD5" s="94"/>
      <c r="HFE5" s="94"/>
      <c r="HFF5" s="94"/>
      <c r="HFG5" s="94"/>
      <c r="HFH5" s="94"/>
      <c r="HFI5" s="94"/>
      <c r="HFJ5" s="94"/>
      <c r="HFK5" s="94"/>
      <c r="HFL5" s="94"/>
      <c r="HFM5" s="94"/>
      <c r="HFN5" s="94"/>
      <c r="HFO5" s="94"/>
      <c r="HFP5" s="94"/>
      <c r="HFQ5" s="94"/>
      <c r="HFR5" s="94"/>
      <c r="HFS5" s="94"/>
      <c r="HFT5" s="94"/>
      <c r="HFU5" s="94"/>
      <c r="HFV5" s="94"/>
      <c r="HFW5" s="94"/>
      <c r="HFX5" s="94"/>
      <c r="HFY5" s="94"/>
      <c r="HFZ5" s="94"/>
      <c r="HGA5" s="94"/>
      <c r="HGB5" s="94"/>
      <c r="HGC5" s="94"/>
      <c r="HGD5" s="94"/>
      <c r="HGE5" s="94"/>
      <c r="HGF5" s="94"/>
      <c r="HGG5" s="94"/>
      <c r="HGH5" s="94"/>
      <c r="HGI5" s="94"/>
      <c r="HGJ5" s="94"/>
      <c r="HGK5" s="94"/>
      <c r="HGL5" s="94"/>
      <c r="HGM5" s="94"/>
      <c r="HGN5" s="94"/>
      <c r="HGO5" s="94"/>
      <c r="HGP5" s="94"/>
      <c r="HGQ5" s="94"/>
      <c r="HGR5" s="94"/>
      <c r="HGS5" s="94"/>
      <c r="HGT5" s="94"/>
      <c r="HGU5" s="94"/>
      <c r="HGV5" s="94"/>
      <c r="HGW5" s="94"/>
      <c r="HGX5" s="94"/>
      <c r="HGY5" s="94"/>
      <c r="HGZ5" s="94"/>
      <c r="HHA5" s="94"/>
      <c r="HHB5" s="94"/>
      <c r="HHC5" s="94"/>
      <c r="HHD5" s="94"/>
      <c r="HHE5" s="94"/>
      <c r="HHF5" s="94"/>
      <c r="HHG5" s="94"/>
      <c r="HHH5" s="94"/>
      <c r="HHI5" s="94"/>
      <c r="HHJ5" s="94"/>
      <c r="HHK5" s="94"/>
      <c r="HHL5" s="94"/>
      <c r="HHM5" s="94"/>
      <c r="HHN5" s="94"/>
      <c r="HHO5" s="94"/>
      <c r="HHP5" s="94"/>
      <c r="HHQ5" s="94"/>
      <c r="HHR5" s="94"/>
      <c r="HHS5" s="94"/>
      <c r="HHT5" s="94"/>
      <c r="HHU5" s="94"/>
      <c r="HHV5" s="94"/>
      <c r="HHW5" s="94"/>
      <c r="HHX5" s="94"/>
      <c r="HHY5" s="94"/>
      <c r="HHZ5" s="94"/>
      <c r="HIA5" s="94"/>
      <c r="HIB5" s="94"/>
      <c r="HIC5" s="94"/>
      <c r="HID5" s="94"/>
      <c r="HIE5" s="94"/>
      <c r="HIF5" s="94"/>
      <c r="HIG5" s="94"/>
      <c r="HIH5" s="94"/>
      <c r="HII5" s="94"/>
      <c r="HIJ5" s="94"/>
      <c r="HIK5" s="94"/>
      <c r="HIL5" s="94"/>
      <c r="HIM5" s="94"/>
      <c r="HIN5" s="94"/>
      <c r="HIO5" s="94"/>
      <c r="HIP5" s="94"/>
      <c r="HIQ5" s="94"/>
      <c r="HIR5" s="94"/>
      <c r="HIS5" s="94"/>
      <c r="HIT5" s="94"/>
      <c r="HIU5" s="94"/>
      <c r="HIV5" s="94"/>
      <c r="HIW5" s="94"/>
      <c r="HIX5" s="94"/>
      <c r="HIY5" s="94"/>
      <c r="HIZ5" s="94"/>
      <c r="HJA5" s="94"/>
      <c r="HJB5" s="94"/>
      <c r="HJC5" s="94"/>
      <c r="HJD5" s="94"/>
      <c r="HJE5" s="94"/>
      <c r="HJF5" s="94"/>
      <c r="HJG5" s="94"/>
      <c r="HJH5" s="94"/>
      <c r="HJI5" s="94"/>
      <c r="HJJ5" s="94"/>
      <c r="HJK5" s="94"/>
      <c r="HJL5" s="94"/>
      <c r="HJM5" s="94"/>
      <c r="HJN5" s="94"/>
      <c r="HJO5" s="94"/>
      <c r="HJP5" s="94"/>
      <c r="HJQ5" s="94"/>
      <c r="HJR5" s="94"/>
      <c r="HJS5" s="94"/>
      <c r="HJT5" s="94"/>
      <c r="HJU5" s="94"/>
      <c r="HJV5" s="94"/>
      <c r="HJW5" s="94"/>
      <c r="HJX5" s="94"/>
      <c r="HJY5" s="94"/>
      <c r="HJZ5" s="94"/>
      <c r="HKA5" s="94"/>
      <c r="HKB5" s="94"/>
      <c r="HKC5" s="94"/>
      <c r="HKD5" s="94"/>
      <c r="HKE5" s="94"/>
      <c r="HKF5" s="94"/>
      <c r="HKG5" s="94"/>
      <c r="HKH5" s="94"/>
      <c r="HKI5" s="94"/>
      <c r="HKJ5" s="94"/>
      <c r="HKK5" s="94"/>
      <c r="HKL5" s="94"/>
      <c r="HKM5" s="94"/>
      <c r="HKN5" s="94"/>
      <c r="HKO5" s="94"/>
      <c r="HKP5" s="94"/>
      <c r="HKQ5" s="94"/>
      <c r="HKR5" s="94"/>
      <c r="HKS5" s="94"/>
      <c r="HKT5" s="94"/>
      <c r="HKU5" s="94"/>
      <c r="HKV5" s="94"/>
      <c r="HKW5" s="94"/>
      <c r="HKX5" s="94"/>
      <c r="HKY5" s="94"/>
      <c r="HKZ5" s="94"/>
      <c r="HLA5" s="94"/>
      <c r="HLB5" s="94"/>
      <c r="HLC5" s="94"/>
      <c r="HLD5" s="94"/>
      <c r="HLE5" s="94"/>
      <c r="HLF5" s="94"/>
      <c r="HLG5" s="94"/>
      <c r="HLH5" s="94"/>
      <c r="HLI5" s="94"/>
      <c r="HLJ5" s="94"/>
      <c r="HLK5" s="94"/>
      <c r="HLL5" s="94"/>
      <c r="HLM5" s="94"/>
      <c r="HLN5" s="94"/>
      <c r="HLO5" s="94"/>
      <c r="HLP5" s="94"/>
      <c r="HLQ5" s="94"/>
      <c r="HLR5" s="94"/>
      <c r="HLS5" s="94"/>
      <c r="HLT5" s="94"/>
      <c r="HLU5" s="94"/>
      <c r="HLV5" s="94"/>
      <c r="HLW5" s="94"/>
      <c r="HLX5" s="94"/>
      <c r="HLY5" s="94"/>
      <c r="HLZ5" s="94"/>
      <c r="HMA5" s="94"/>
      <c r="HMB5" s="94"/>
      <c r="HMC5" s="94"/>
      <c r="HMD5" s="94"/>
      <c r="HME5" s="94"/>
      <c r="HMF5" s="94"/>
      <c r="HMG5" s="94"/>
      <c r="HMH5" s="94"/>
      <c r="HMI5" s="94"/>
      <c r="HMJ5" s="94"/>
      <c r="HMK5" s="94"/>
      <c r="HML5" s="94"/>
      <c r="HMM5" s="94"/>
      <c r="HMN5" s="94"/>
      <c r="HMO5" s="94"/>
      <c r="HMP5" s="94"/>
      <c r="HMQ5" s="94"/>
      <c r="HMR5" s="94"/>
      <c r="HMS5" s="94"/>
      <c r="HMT5" s="94"/>
      <c r="HMU5" s="94"/>
      <c r="HMV5" s="94"/>
      <c r="HMW5" s="94"/>
      <c r="HMX5" s="94"/>
      <c r="HMY5" s="94"/>
      <c r="HMZ5" s="94"/>
      <c r="HNA5" s="94"/>
      <c r="HNB5" s="94"/>
      <c r="HNC5" s="94"/>
      <c r="HND5" s="94"/>
      <c r="HNE5" s="94"/>
      <c r="HNF5" s="94"/>
      <c r="HNG5" s="94"/>
      <c r="HNH5" s="94"/>
      <c r="HNI5" s="94"/>
      <c r="HNJ5" s="94"/>
      <c r="HNK5" s="94"/>
      <c r="HNL5" s="94"/>
      <c r="HNM5" s="94"/>
      <c r="HNN5" s="94"/>
      <c r="HNO5" s="94"/>
      <c r="HNP5" s="94"/>
      <c r="HNQ5" s="94"/>
      <c r="HNR5" s="94"/>
      <c r="HNS5" s="94"/>
      <c r="HNT5" s="94"/>
      <c r="HNU5" s="94"/>
      <c r="HNV5" s="94"/>
      <c r="HNW5" s="94"/>
      <c r="HNX5" s="94"/>
      <c r="HNY5" s="94"/>
      <c r="HNZ5" s="94"/>
      <c r="HOA5" s="94"/>
      <c r="HOB5" s="94"/>
      <c r="HOC5" s="94"/>
      <c r="HOD5" s="94"/>
      <c r="HOE5" s="94"/>
      <c r="HOF5" s="94"/>
      <c r="HOG5" s="94"/>
      <c r="HOH5" s="94"/>
      <c r="HOI5" s="94"/>
      <c r="HOJ5" s="94"/>
      <c r="HOK5" s="94"/>
      <c r="HOL5" s="94"/>
      <c r="HOM5" s="94"/>
      <c r="HON5" s="94"/>
      <c r="HOO5" s="94"/>
      <c r="HOP5" s="94"/>
      <c r="HOQ5" s="94"/>
      <c r="HOR5" s="94"/>
      <c r="HOS5" s="94"/>
      <c r="HOT5" s="94"/>
      <c r="HOU5" s="94"/>
      <c r="HOV5" s="94"/>
      <c r="HOW5" s="94"/>
      <c r="HOX5" s="94"/>
      <c r="HOY5" s="94"/>
      <c r="HOZ5" s="94"/>
      <c r="HPA5" s="94"/>
      <c r="HPB5" s="94"/>
      <c r="HPC5" s="94"/>
      <c r="HPD5" s="94"/>
      <c r="HPE5" s="94"/>
      <c r="HPF5" s="94"/>
      <c r="HPG5" s="94"/>
      <c r="HPH5" s="94"/>
      <c r="HPI5" s="94"/>
      <c r="HPJ5" s="94"/>
      <c r="HPK5" s="94"/>
      <c r="HPL5" s="94"/>
      <c r="HPM5" s="94"/>
      <c r="HPN5" s="94"/>
      <c r="HPO5" s="94"/>
      <c r="HPP5" s="94"/>
      <c r="HPQ5" s="94"/>
      <c r="HPR5" s="94"/>
      <c r="HPS5" s="94"/>
      <c r="HPT5" s="94"/>
      <c r="HPU5" s="94"/>
      <c r="HPV5" s="94"/>
      <c r="HPW5" s="94"/>
      <c r="HPX5" s="94"/>
      <c r="HPY5" s="94"/>
      <c r="HPZ5" s="94"/>
      <c r="HQA5" s="94"/>
      <c r="HQB5" s="94"/>
      <c r="HQC5" s="94"/>
      <c r="HQD5" s="94"/>
      <c r="HQE5" s="94"/>
      <c r="HQF5" s="94"/>
      <c r="HQG5" s="94"/>
      <c r="HQH5" s="94"/>
      <c r="HQI5" s="94"/>
      <c r="HQJ5" s="94"/>
      <c r="HQK5" s="94"/>
      <c r="HQL5" s="94"/>
      <c r="HQM5" s="94"/>
      <c r="HQN5" s="94"/>
      <c r="HQO5" s="94"/>
      <c r="HQP5" s="94"/>
      <c r="HQQ5" s="94"/>
      <c r="HQR5" s="94"/>
      <c r="HQS5" s="94"/>
      <c r="HQT5" s="94"/>
      <c r="HQU5" s="94"/>
      <c r="HQV5" s="94"/>
      <c r="HQW5" s="94"/>
      <c r="HQX5" s="94"/>
      <c r="HQY5" s="94"/>
      <c r="HQZ5" s="94"/>
      <c r="HRA5" s="94"/>
      <c r="HRB5" s="94"/>
      <c r="HRC5" s="94"/>
      <c r="HRD5" s="94"/>
      <c r="HRE5" s="94"/>
      <c r="HRF5" s="94"/>
      <c r="HRG5" s="94"/>
      <c r="HRH5" s="94"/>
      <c r="HRI5" s="94"/>
      <c r="HRJ5" s="94"/>
      <c r="HRK5" s="94"/>
      <c r="HRL5" s="94"/>
      <c r="HRM5" s="94"/>
      <c r="HRN5" s="94"/>
      <c r="HRO5" s="94"/>
      <c r="HRP5" s="94"/>
      <c r="HRQ5" s="94"/>
      <c r="HRR5" s="94"/>
      <c r="HRS5" s="94"/>
      <c r="HRT5" s="94"/>
      <c r="HRU5" s="94"/>
      <c r="HRV5" s="94"/>
      <c r="HRW5" s="94"/>
      <c r="HRX5" s="94"/>
      <c r="HRY5" s="94"/>
      <c r="HRZ5" s="94"/>
      <c r="HSA5" s="94"/>
      <c r="HSB5" s="94"/>
      <c r="HSC5" s="94"/>
      <c r="HSD5" s="94"/>
      <c r="HSE5" s="94"/>
      <c r="HSF5" s="94"/>
      <c r="HSG5" s="94"/>
      <c r="HSH5" s="94"/>
      <c r="HSI5" s="94"/>
      <c r="HSJ5" s="94"/>
      <c r="HSK5" s="94"/>
      <c r="HSL5" s="94"/>
      <c r="HSM5" s="94"/>
      <c r="HSN5" s="94"/>
      <c r="HSO5" s="94"/>
      <c r="HSP5" s="94"/>
      <c r="HSQ5" s="94"/>
      <c r="HSR5" s="94"/>
      <c r="HSS5" s="94"/>
      <c r="HST5" s="94"/>
      <c r="HSU5" s="94"/>
      <c r="HSV5" s="94"/>
      <c r="HSW5" s="94"/>
      <c r="HSX5" s="94"/>
      <c r="HSY5" s="94"/>
      <c r="HSZ5" s="94"/>
      <c r="HTA5" s="94"/>
      <c r="HTB5" s="94"/>
      <c r="HTC5" s="94"/>
      <c r="HTD5" s="94"/>
      <c r="HTE5" s="94"/>
      <c r="HTF5" s="94"/>
      <c r="HTG5" s="94"/>
      <c r="HTH5" s="94"/>
      <c r="HTI5" s="94"/>
      <c r="HTJ5" s="94"/>
      <c r="HTK5" s="94"/>
      <c r="HTL5" s="94"/>
      <c r="HTM5" s="94"/>
      <c r="HTN5" s="94"/>
      <c r="HTO5" s="94"/>
      <c r="HTP5" s="94"/>
      <c r="HTQ5" s="94"/>
      <c r="HTR5" s="94"/>
      <c r="HTS5" s="94"/>
      <c r="HTT5" s="94"/>
      <c r="HTU5" s="94"/>
      <c r="HTV5" s="94"/>
      <c r="HTW5" s="94"/>
      <c r="HTX5" s="94"/>
      <c r="HTY5" s="94"/>
      <c r="HTZ5" s="94"/>
      <c r="HUA5" s="94"/>
      <c r="HUB5" s="94"/>
      <c r="HUC5" s="94"/>
      <c r="HUD5" s="94"/>
      <c r="HUE5" s="94"/>
      <c r="HUF5" s="94"/>
      <c r="HUG5" s="94"/>
      <c r="HUH5" s="94"/>
      <c r="HUI5" s="94"/>
      <c r="HUJ5" s="94"/>
      <c r="HUK5" s="94"/>
      <c r="HUL5" s="94"/>
      <c r="HUM5" s="94"/>
      <c r="HUN5" s="94"/>
      <c r="HUO5" s="94"/>
      <c r="HUP5" s="94"/>
      <c r="HUQ5" s="94"/>
      <c r="HUR5" s="94"/>
      <c r="HUS5" s="94"/>
      <c r="HUT5" s="94"/>
      <c r="HUU5" s="94"/>
      <c r="HUV5" s="94"/>
      <c r="HUW5" s="94"/>
      <c r="HUX5" s="94"/>
      <c r="HUY5" s="94"/>
      <c r="HUZ5" s="94"/>
      <c r="HVA5" s="94"/>
      <c r="HVB5" s="94"/>
      <c r="HVC5" s="94"/>
      <c r="HVD5" s="94"/>
      <c r="HVE5" s="94"/>
      <c r="HVF5" s="94"/>
      <c r="HVG5" s="94"/>
      <c r="HVH5" s="94"/>
      <c r="HVI5" s="94"/>
      <c r="HVJ5" s="94"/>
      <c r="HVK5" s="94"/>
      <c r="HVL5" s="94"/>
      <c r="HVM5" s="94"/>
      <c r="HVN5" s="94"/>
      <c r="HVO5" s="94"/>
      <c r="HVP5" s="94"/>
      <c r="HVQ5" s="94"/>
      <c r="HVR5" s="94"/>
      <c r="HVS5" s="94"/>
      <c r="HVT5" s="94"/>
      <c r="HVU5" s="94"/>
      <c r="HVV5" s="94"/>
      <c r="HVW5" s="94"/>
      <c r="HVX5" s="94"/>
      <c r="HVY5" s="94"/>
      <c r="HVZ5" s="94"/>
      <c r="HWA5" s="94"/>
      <c r="HWB5" s="94"/>
      <c r="HWC5" s="94"/>
      <c r="HWD5" s="94"/>
      <c r="HWE5" s="94"/>
      <c r="HWF5" s="94"/>
      <c r="HWG5" s="94"/>
      <c r="HWH5" s="94"/>
      <c r="HWI5" s="94"/>
      <c r="HWJ5" s="94"/>
      <c r="HWK5" s="94"/>
      <c r="HWL5" s="94"/>
      <c r="HWM5" s="94"/>
      <c r="HWN5" s="94"/>
      <c r="HWO5" s="94"/>
      <c r="HWP5" s="94"/>
      <c r="HWQ5" s="94"/>
      <c r="HWR5" s="94"/>
      <c r="HWS5" s="94"/>
      <c r="HWT5" s="94"/>
      <c r="HWU5" s="94"/>
      <c r="HWV5" s="94"/>
      <c r="HWW5" s="94"/>
      <c r="HWX5" s="94"/>
      <c r="HWY5" s="94"/>
      <c r="HWZ5" s="94"/>
      <c r="HXA5" s="94"/>
      <c r="HXB5" s="94"/>
      <c r="HXC5" s="94"/>
      <c r="HXD5" s="94"/>
      <c r="HXE5" s="94"/>
      <c r="HXF5" s="94"/>
      <c r="HXG5" s="94"/>
      <c r="HXH5" s="94"/>
      <c r="HXI5" s="94"/>
      <c r="HXJ5" s="94"/>
      <c r="HXK5" s="94"/>
      <c r="HXL5" s="94"/>
      <c r="HXM5" s="94"/>
      <c r="HXN5" s="94"/>
      <c r="HXO5" s="94"/>
      <c r="HXP5" s="94"/>
      <c r="HXQ5" s="94"/>
      <c r="HXR5" s="94"/>
      <c r="HXS5" s="94"/>
      <c r="HXT5" s="94"/>
      <c r="HXU5" s="94"/>
      <c r="HXV5" s="94"/>
      <c r="HXW5" s="94"/>
      <c r="HXX5" s="94"/>
      <c r="HXY5" s="94"/>
      <c r="HXZ5" s="94"/>
      <c r="HYA5" s="94"/>
      <c r="HYB5" s="94"/>
      <c r="HYC5" s="94"/>
      <c r="HYD5" s="94"/>
      <c r="HYE5" s="94"/>
      <c r="HYF5" s="94"/>
      <c r="HYG5" s="94"/>
      <c r="HYH5" s="94"/>
      <c r="HYI5" s="94"/>
      <c r="HYJ5" s="94"/>
      <c r="HYK5" s="94"/>
      <c r="HYL5" s="94"/>
      <c r="HYM5" s="94"/>
      <c r="HYN5" s="94"/>
      <c r="HYO5" s="94"/>
      <c r="HYP5" s="94"/>
      <c r="HYQ5" s="94"/>
      <c r="HYR5" s="94"/>
      <c r="HYS5" s="94"/>
      <c r="HYT5" s="94"/>
      <c r="HYU5" s="94"/>
      <c r="HYV5" s="94"/>
      <c r="HYW5" s="94"/>
      <c r="HYX5" s="94"/>
      <c r="HYY5" s="94"/>
      <c r="HYZ5" s="94"/>
      <c r="HZA5" s="94"/>
      <c r="HZB5" s="94"/>
      <c r="HZC5" s="94"/>
      <c r="HZD5" s="94"/>
      <c r="HZE5" s="94"/>
      <c r="HZF5" s="94"/>
      <c r="HZG5" s="94"/>
      <c r="HZH5" s="94"/>
      <c r="HZI5" s="94"/>
      <c r="HZJ5" s="94"/>
      <c r="HZK5" s="94"/>
      <c r="HZL5" s="94"/>
      <c r="HZM5" s="94"/>
      <c r="HZN5" s="94"/>
      <c r="HZO5" s="94"/>
      <c r="HZP5" s="94"/>
      <c r="HZQ5" s="94"/>
      <c r="HZR5" s="94"/>
      <c r="HZS5" s="94"/>
      <c r="HZT5" s="94"/>
      <c r="HZU5" s="94"/>
      <c r="HZV5" s="94"/>
      <c r="HZW5" s="94"/>
      <c r="HZX5" s="94"/>
      <c r="HZY5" s="94"/>
      <c r="HZZ5" s="94"/>
      <c r="IAA5" s="94"/>
      <c r="IAB5" s="94"/>
      <c r="IAC5" s="94"/>
      <c r="IAD5" s="94"/>
      <c r="IAE5" s="94"/>
      <c r="IAF5" s="94"/>
      <c r="IAG5" s="94"/>
      <c r="IAH5" s="94"/>
      <c r="IAI5" s="94"/>
      <c r="IAJ5" s="94"/>
      <c r="IAK5" s="94"/>
      <c r="IAL5" s="94"/>
      <c r="IAM5" s="94"/>
      <c r="IAN5" s="94"/>
      <c r="IAO5" s="94"/>
      <c r="IAP5" s="94"/>
      <c r="IAQ5" s="94"/>
      <c r="IAR5" s="94"/>
      <c r="IAS5" s="94"/>
      <c r="IAT5" s="94"/>
      <c r="IAU5" s="94"/>
      <c r="IAV5" s="94"/>
      <c r="IAW5" s="94"/>
      <c r="IAX5" s="94"/>
      <c r="IAY5" s="94"/>
      <c r="IAZ5" s="94"/>
      <c r="IBA5" s="94"/>
      <c r="IBB5" s="94"/>
      <c r="IBC5" s="94"/>
      <c r="IBD5" s="94"/>
      <c r="IBE5" s="94"/>
      <c r="IBF5" s="94"/>
      <c r="IBG5" s="94"/>
      <c r="IBH5" s="94"/>
      <c r="IBI5" s="94"/>
      <c r="IBJ5" s="94"/>
      <c r="IBK5" s="94"/>
      <c r="IBL5" s="94"/>
      <c r="IBM5" s="94"/>
      <c r="IBN5" s="94"/>
      <c r="IBO5" s="94"/>
      <c r="IBP5" s="94"/>
      <c r="IBQ5" s="94"/>
      <c r="IBR5" s="94"/>
      <c r="IBS5" s="94"/>
      <c r="IBT5" s="94"/>
      <c r="IBU5" s="94"/>
      <c r="IBV5" s="94"/>
      <c r="IBW5" s="94"/>
      <c r="IBX5" s="94"/>
      <c r="IBY5" s="94"/>
      <c r="IBZ5" s="94"/>
      <c r="ICA5" s="94"/>
      <c r="ICB5" s="94"/>
      <c r="ICC5" s="94"/>
      <c r="ICD5" s="94"/>
      <c r="ICE5" s="94"/>
      <c r="ICF5" s="94"/>
      <c r="ICG5" s="94"/>
      <c r="ICH5" s="94"/>
      <c r="ICI5" s="94"/>
      <c r="ICJ5" s="94"/>
      <c r="ICK5" s="94"/>
      <c r="ICL5" s="94"/>
      <c r="ICM5" s="94"/>
      <c r="ICN5" s="94"/>
      <c r="ICO5" s="94"/>
      <c r="ICP5" s="94"/>
      <c r="ICQ5" s="94"/>
      <c r="ICR5" s="94"/>
      <c r="ICS5" s="94"/>
      <c r="ICT5" s="94"/>
      <c r="ICU5" s="94"/>
      <c r="ICV5" s="94"/>
      <c r="ICW5" s="94"/>
      <c r="ICX5" s="94"/>
      <c r="ICY5" s="94"/>
      <c r="ICZ5" s="94"/>
      <c r="IDA5" s="94"/>
      <c r="IDB5" s="94"/>
      <c r="IDC5" s="94"/>
      <c r="IDD5" s="94"/>
      <c r="IDE5" s="94"/>
      <c r="IDF5" s="94"/>
      <c r="IDG5" s="94"/>
      <c r="IDH5" s="94"/>
      <c r="IDI5" s="94"/>
      <c r="IDJ5" s="94"/>
      <c r="IDK5" s="94"/>
      <c r="IDL5" s="94"/>
      <c r="IDM5" s="94"/>
      <c r="IDN5" s="94"/>
      <c r="IDO5" s="94"/>
      <c r="IDP5" s="94"/>
      <c r="IDQ5" s="94"/>
      <c r="IDR5" s="94"/>
      <c r="IDS5" s="94"/>
      <c r="IDT5" s="94"/>
      <c r="IDU5" s="94"/>
      <c r="IDV5" s="94"/>
      <c r="IDW5" s="94"/>
      <c r="IDX5" s="94"/>
      <c r="IDY5" s="94"/>
      <c r="IDZ5" s="94"/>
      <c r="IEA5" s="94"/>
      <c r="IEB5" s="94"/>
      <c r="IEC5" s="94"/>
      <c r="IED5" s="94"/>
      <c r="IEE5" s="94"/>
      <c r="IEF5" s="94"/>
      <c r="IEG5" s="94"/>
      <c r="IEH5" s="94"/>
      <c r="IEI5" s="94"/>
      <c r="IEJ5" s="94"/>
      <c r="IEK5" s="94"/>
      <c r="IEL5" s="94"/>
      <c r="IEM5" s="94"/>
      <c r="IEN5" s="94"/>
      <c r="IEO5" s="94"/>
      <c r="IEP5" s="94"/>
      <c r="IEQ5" s="94"/>
      <c r="IER5" s="94"/>
      <c r="IES5" s="94"/>
      <c r="IET5" s="94"/>
      <c r="IEU5" s="94"/>
      <c r="IEV5" s="94"/>
      <c r="IEW5" s="94"/>
      <c r="IEX5" s="94"/>
      <c r="IEY5" s="94"/>
      <c r="IEZ5" s="94"/>
      <c r="IFA5" s="94"/>
      <c r="IFB5" s="94"/>
      <c r="IFC5" s="94"/>
      <c r="IFD5" s="94"/>
      <c r="IFE5" s="94"/>
      <c r="IFF5" s="94"/>
      <c r="IFG5" s="94"/>
      <c r="IFH5" s="94"/>
      <c r="IFI5" s="94"/>
      <c r="IFJ5" s="94"/>
      <c r="IFK5" s="94"/>
      <c r="IFL5" s="94"/>
      <c r="IFM5" s="94"/>
      <c r="IFN5" s="94"/>
      <c r="IFO5" s="94"/>
      <c r="IFP5" s="94"/>
      <c r="IFQ5" s="94"/>
      <c r="IFR5" s="94"/>
      <c r="IFS5" s="94"/>
      <c r="IFT5" s="94"/>
      <c r="IFU5" s="94"/>
      <c r="IFV5" s="94"/>
      <c r="IFW5" s="94"/>
      <c r="IFX5" s="94"/>
      <c r="IFY5" s="94"/>
      <c r="IFZ5" s="94"/>
      <c r="IGA5" s="94"/>
      <c r="IGB5" s="94"/>
      <c r="IGC5" s="94"/>
      <c r="IGD5" s="94"/>
      <c r="IGE5" s="94"/>
      <c r="IGF5" s="94"/>
      <c r="IGG5" s="94"/>
      <c r="IGH5" s="94"/>
      <c r="IGI5" s="94"/>
      <c r="IGJ5" s="94"/>
      <c r="IGK5" s="94"/>
      <c r="IGL5" s="94"/>
      <c r="IGM5" s="94"/>
      <c r="IGN5" s="94"/>
      <c r="IGO5" s="94"/>
      <c r="IGP5" s="94"/>
      <c r="IGQ5" s="94"/>
      <c r="IGR5" s="94"/>
      <c r="IGS5" s="94"/>
      <c r="IGT5" s="94"/>
      <c r="IGU5" s="94"/>
      <c r="IGV5" s="94"/>
      <c r="IGW5" s="94"/>
      <c r="IGX5" s="94"/>
      <c r="IGY5" s="94"/>
      <c r="IGZ5" s="94"/>
      <c r="IHA5" s="94"/>
      <c r="IHB5" s="94"/>
      <c r="IHC5" s="94"/>
      <c r="IHD5" s="94"/>
      <c r="IHE5" s="94"/>
      <c r="IHF5" s="94"/>
      <c r="IHG5" s="94"/>
      <c r="IHH5" s="94"/>
      <c r="IHI5" s="94"/>
      <c r="IHJ5" s="94"/>
      <c r="IHK5" s="94"/>
      <c r="IHL5" s="94"/>
      <c r="IHM5" s="94"/>
      <c r="IHN5" s="94"/>
      <c r="IHO5" s="94"/>
      <c r="IHP5" s="94"/>
      <c r="IHQ5" s="94"/>
      <c r="IHR5" s="94"/>
      <c r="IHS5" s="94"/>
      <c r="IHT5" s="94"/>
      <c r="IHU5" s="94"/>
      <c r="IHV5" s="94"/>
      <c r="IHW5" s="94"/>
      <c r="IHX5" s="94"/>
      <c r="IHY5" s="94"/>
      <c r="IHZ5" s="94"/>
      <c r="IIA5" s="94"/>
      <c r="IIB5" s="94"/>
      <c r="IIC5" s="94"/>
      <c r="IID5" s="94"/>
      <c r="IIE5" s="94"/>
      <c r="IIF5" s="94"/>
      <c r="IIG5" s="94"/>
      <c r="IIH5" s="94"/>
      <c r="III5" s="94"/>
      <c r="IIJ5" s="94"/>
      <c r="IIK5" s="94"/>
      <c r="IIL5" s="94"/>
      <c r="IIM5" s="94"/>
      <c r="IIN5" s="94"/>
      <c r="IIO5" s="94"/>
      <c r="IIP5" s="94"/>
      <c r="IIQ5" s="94"/>
      <c r="IIR5" s="94"/>
      <c r="IIS5" s="94"/>
      <c r="IIT5" s="94"/>
      <c r="IIU5" s="94"/>
      <c r="IIV5" s="94"/>
      <c r="IIW5" s="94"/>
      <c r="IIX5" s="94"/>
      <c r="IIY5" s="94"/>
      <c r="IIZ5" s="94"/>
      <c r="IJA5" s="94"/>
      <c r="IJB5" s="94"/>
      <c r="IJC5" s="94"/>
      <c r="IJD5" s="94"/>
      <c r="IJE5" s="94"/>
      <c r="IJF5" s="94"/>
      <c r="IJG5" s="94"/>
      <c r="IJH5" s="94"/>
      <c r="IJI5" s="94"/>
      <c r="IJJ5" s="94"/>
      <c r="IJK5" s="94"/>
      <c r="IJL5" s="94"/>
      <c r="IJM5" s="94"/>
      <c r="IJN5" s="94"/>
      <c r="IJO5" s="94"/>
      <c r="IJP5" s="94"/>
      <c r="IJQ5" s="94"/>
      <c r="IJR5" s="94"/>
      <c r="IJS5" s="94"/>
      <c r="IJT5" s="94"/>
      <c r="IJU5" s="94"/>
      <c r="IJV5" s="94"/>
      <c r="IJW5" s="94"/>
      <c r="IJX5" s="94"/>
      <c r="IJY5" s="94"/>
      <c r="IJZ5" s="94"/>
      <c r="IKA5" s="94"/>
      <c r="IKB5" s="94"/>
      <c r="IKC5" s="94"/>
      <c r="IKD5" s="94"/>
      <c r="IKE5" s="94"/>
      <c r="IKF5" s="94"/>
      <c r="IKG5" s="94"/>
      <c r="IKH5" s="94"/>
      <c r="IKI5" s="94"/>
      <c r="IKJ5" s="94"/>
      <c r="IKK5" s="94"/>
      <c r="IKL5" s="94"/>
      <c r="IKM5" s="94"/>
      <c r="IKN5" s="94"/>
      <c r="IKO5" s="94"/>
      <c r="IKP5" s="94"/>
      <c r="IKQ5" s="94"/>
      <c r="IKR5" s="94"/>
      <c r="IKS5" s="94"/>
      <c r="IKT5" s="94"/>
      <c r="IKU5" s="94"/>
      <c r="IKV5" s="94"/>
      <c r="IKW5" s="94"/>
      <c r="IKX5" s="94"/>
      <c r="IKY5" s="94"/>
      <c r="IKZ5" s="94"/>
      <c r="ILA5" s="94"/>
      <c r="ILB5" s="94"/>
      <c r="ILC5" s="94"/>
      <c r="ILD5" s="94"/>
      <c r="ILE5" s="94"/>
      <c r="ILF5" s="94"/>
      <c r="ILG5" s="94"/>
      <c r="ILH5" s="94"/>
      <c r="ILI5" s="94"/>
      <c r="ILJ5" s="94"/>
      <c r="ILK5" s="94"/>
      <c r="ILL5" s="94"/>
      <c r="ILM5" s="94"/>
      <c r="ILN5" s="94"/>
      <c r="ILO5" s="94"/>
      <c r="ILP5" s="94"/>
      <c r="ILQ5" s="94"/>
      <c r="ILR5" s="94"/>
      <c r="ILS5" s="94"/>
      <c r="ILT5" s="94"/>
      <c r="ILU5" s="94"/>
      <c r="ILV5" s="94"/>
      <c r="ILW5" s="94"/>
      <c r="ILX5" s="94"/>
      <c r="ILY5" s="94"/>
      <c r="ILZ5" s="94"/>
      <c r="IMA5" s="94"/>
      <c r="IMB5" s="94"/>
      <c r="IMC5" s="94"/>
      <c r="IMD5" s="94"/>
      <c r="IME5" s="94"/>
      <c r="IMF5" s="94"/>
      <c r="IMG5" s="94"/>
      <c r="IMH5" s="94"/>
      <c r="IMI5" s="94"/>
      <c r="IMJ5" s="94"/>
      <c r="IMK5" s="94"/>
      <c r="IML5" s="94"/>
      <c r="IMM5" s="94"/>
      <c r="IMN5" s="94"/>
      <c r="IMO5" s="94"/>
      <c r="IMP5" s="94"/>
      <c r="IMQ5" s="94"/>
      <c r="IMR5" s="94"/>
      <c r="IMS5" s="94"/>
      <c r="IMT5" s="94"/>
      <c r="IMU5" s="94"/>
      <c r="IMV5" s="94"/>
      <c r="IMW5" s="94"/>
      <c r="IMX5" s="94"/>
      <c r="IMY5" s="94"/>
      <c r="IMZ5" s="94"/>
      <c r="INA5" s="94"/>
      <c r="INB5" s="94"/>
      <c r="INC5" s="94"/>
      <c r="IND5" s="94"/>
      <c r="INE5" s="94"/>
      <c r="INF5" s="94"/>
      <c r="ING5" s="94"/>
      <c r="INH5" s="94"/>
      <c r="INI5" s="94"/>
      <c r="INJ5" s="94"/>
      <c r="INK5" s="94"/>
      <c r="INL5" s="94"/>
      <c r="INM5" s="94"/>
      <c r="INN5" s="94"/>
      <c r="INO5" s="94"/>
      <c r="INP5" s="94"/>
      <c r="INQ5" s="94"/>
      <c r="INR5" s="94"/>
      <c r="INS5" s="94"/>
      <c r="INT5" s="94"/>
      <c r="INU5" s="94"/>
      <c r="INV5" s="94"/>
      <c r="INW5" s="94"/>
      <c r="INX5" s="94"/>
      <c r="INY5" s="94"/>
      <c r="INZ5" s="94"/>
      <c r="IOA5" s="94"/>
      <c r="IOB5" s="94"/>
      <c r="IOC5" s="94"/>
      <c r="IOD5" s="94"/>
      <c r="IOE5" s="94"/>
      <c r="IOF5" s="94"/>
      <c r="IOG5" s="94"/>
      <c r="IOH5" s="94"/>
      <c r="IOI5" s="94"/>
      <c r="IOJ5" s="94"/>
      <c r="IOK5" s="94"/>
      <c r="IOL5" s="94"/>
      <c r="IOM5" s="94"/>
      <c r="ION5" s="94"/>
      <c r="IOO5" s="94"/>
      <c r="IOP5" s="94"/>
      <c r="IOQ5" s="94"/>
      <c r="IOR5" s="94"/>
      <c r="IOS5" s="94"/>
      <c r="IOT5" s="94"/>
      <c r="IOU5" s="94"/>
      <c r="IOV5" s="94"/>
      <c r="IOW5" s="94"/>
      <c r="IOX5" s="94"/>
      <c r="IOY5" s="94"/>
      <c r="IOZ5" s="94"/>
      <c r="IPA5" s="94"/>
      <c r="IPB5" s="94"/>
      <c r="IPC5" s="94"/>
      <c r="IPD5" s="94"/>
      <c r="IPE5" s="94"/>
      <c r="IPF5" s="94"/>
      <c r="IPG5" s="94"/>
      <c r="IPH5" s="94"/>
      <c r="IPI5" s="94"/>
      <c r="IPJ5" s="94"/>
      <c r="IPK5" s="94"/>
      <c r="IPL5" s="94"/>
      <c r="IPM5" s="94"/>
      <c r="IPN5" s="94"/>
      <c r="IPO5" s="94"/>
      <c r="IPP5" s="94"/>
      <c r="IPQ5" s="94"/>
      <c r="IPR5" s="94"/>
      <c r="IPS5" s="94"/>
      <c r="IPT5" s="94"/>
      <c r="IPU5" s="94"/>
      <c r="IPV5" s="94"/>
      <c r="IPW5" s="94"/>
      <c r="IPX5" s="94"/>
      <c r="IPY5" s="94"/>
      <c r="IPZ5" s="94"/>
      <c r="IQA5" s="94"/>
      <c r="IQB5" s="94"/>
      <c r="IQC5" s="94"/>
      <c r="IQD5" s="94"/>
      <c r="IQE5" s="94"/>
      <c r="IQF5" s="94"/>
      <c r="IQG5" s="94"/>
      <c r="IQH5" s="94"/>
      <c r="IQI5" s="94"/>
      <c r="IQJ5" s="94"/>
      <c r="IQK5" s="94"/>
      <c r="IQL5" s="94"/>
      <c r="IQM5" s="94"/>
      <c r="IQN5" s="94"/>
      <c r="IQO5" s="94"/>
      <c r="IQP5" s="94"/>
      <c r="IQQ5" s="94"/>
      <c r="IQR5" s="94"/>
      <c r="IQS5" s="94"/>
      <c r="IQT5" s="94"/>
      <c r="IQU5" s="94"/>
      <c r="IQV5" s="94"/>
      <c r="IQW5" s="94"/>
      <c r="IQX5" s="94"/>
      <c r="IQY5" s="94"/>
      <c r="IQZ5" s="94"/>
      <c r="IRA5" s="94"/>
      <c r="IRB5" s="94"/>
      <c r="IRC5" s="94"/>
      <c r="IRD5" s="94"/>
      <c r="IRE5" s="94"/>
      <c r="IRF5" s="94"/>
      <c r="IRG5" s="94"/>
      <c r="IRH5" s="94"/>
      <c r="IRI5" s="94"/>
      <c r="IRJ5" s="94"/>
      <c r="IRK5" s="94"/>
      <c r="IRL5" s="94"/>
      <c r="IRM5" s="94"/>
      <c r="IRN5" s="94"/>
      <c r="IRO5" s="94"/>
      <c r="IRP5" s="94"/>
      <c r="IRQ5" s="94"/>
      <c r="IRR5" s="94"/>
      <c r="IRS5" s="94"/>
      <c r="IRT5" s="94"/>
      <c r="IRU5" s="94"/>
      <c r="IRV5" s="94"/>
      <c r="IRW5" s="94"/>
      <c r="IRX5" s="94"/>
      <c r="IRY5" s="94"/>
      <c r="IRZ5" s="94"/>
      <c r="ISA5" s="94"/>
      <c r="ISB5" s="94"/>
      <c r="ISC5" s="94"/>
      <c r="ISD5" s="94"/>
      <c r="ISE5" s="94"/>
      <c r="ISF5" s="94"/>
      <c r="ISG5" s="94"/>
      <c r="ISH5" s="94"/>
      <c r="ISI5" s="94"/>
      <c r="ISJ5" s="94"/>
      <c r="ISK5" s="94"/>
      <c r="ISL5" s="94"/>
      <c r="ISM5" s="94"/>
      <c r="ISN5" s="94"/>
      <c r="ISO5" s="94"/>
      <c r="ISP5" s="94"/>
      <c r="ISQ5" s="94"/>
      <c r="ISR5" s="94"/>
      <c r="ISS5" s="94"/>
      <c r="IST5" s="94"/>
      <c r="ISU5" s="94"/>
      <c r="ISV5" s="94"/>
      <c r="ISW5" s="94"/>
      <c r="ISX5" s="94"/>
      <c r="ISY5" s="94"/>
      <c r="ISZ5" s="94"/>
      <c r="ITA5" s="94"/>
      <c r="ITB5" s="94"/>
      <c r="ITC5" s="94"/>
      <c r="ITD5" s="94"/>
      <c r="ITE5" s="94"/>
      <c r="ITF5" s="94"/>
      <c r="ITG5" s="94"/>
      <c r="ITH5" s="94"/>
      <c r="ITI5" s="94"/>
      <c r="ITJ5" s="94"/>
      <c r="ITK5" s="94"/>
      <c r="ITL5" s="94"/>
      <c r="ITM5" s="94"/>
      <c r="ITN5" s="94"/>
      <c r="ITO5" s="94"/>
      <c r="ITP5" s="94"/>
      <c r="ITQ5" s="94"/>
      <c r="ITR5" s="94"/>
      <c r="ITS5" s="94"/>
      <c r="ITT5" s="94"/>
      <c r="ITU5" s="94"/>
      <c r="ITV5" s="94"/>
      <c r="ITW5" s="94"/>
      <c r="ITX5" s="94"/>
      <c r="ITY5" s="94"/>
      <c r="ITZ5" s="94"/>
      <c r="IUA5" s="94"/>
      <c r="IUB5" s="94"/>
      <c r="IUC5" s="94"/>
      <c r="IUD5" s="94"/>
      <c r="IUE5" s="94"/>
      <c r="IUF5" s="94"/>
      <c r="IUG5" s="94"/>
      <c r="IUH5" s="94"/>
      <c r="IUI5" s="94"/>
      <c r="IUJ5" s="94"/>
      <c r="IUK5" s="94"/>
      <c r="IUL5" s="94"/>
      <c r="IUM5" s="94"/>
      <c r="IUN5" s="94"/>
      <c r="IUO5" s="94"/>
      <c r="IUP5" s="94"/>
      <c r="IUQ5" s="94"/>
      <c r="IUR5" s="94"/>
      <c r="IUS5" s="94"/>
      <c r="IUT5" s="94"/>
      <c r="IUU5" s="94"/>
      <c r="IUV5" s="94"/>
      <c r="IUW5" s="94"/>
      <c r="IUX5" s="94"/>
      <c r="IUY5" s="94"/>
      <c r="IUZ5" s="94"/>
      <c r="IVA5" s="94"/>
      <c r="IVB5" s="94"/>
      <c r="IVC5" s="94"/>
      <c r="IVD5" s="94"/>
      <c r="IVE5" s="94"/>
      <c r="IVF5" s="94"/>
      <c r="IVG5" s="94"/>
      <c r="IVH5" s="94"/>
      <c r="IVI5" s="94"/>
      <c r="IVJ5" s="94"/>
      <c r="IVK5" s="94"/>
      <c r="IVL5" s="94"/>
      <c r="IVM5" s="94"/>
      <c r="IVN5" s="94"/>
      <c r="IVO5" s="94"/>
      <c r="IVP5" s="94"/>
      <c r="IVQ5" s="94"/>
      <c r="IVR5" s="94"/>
      <c r="IVS5" s="94"/>
      <c r="IVT5" s="94"/>
      <c r="IVU5" s="94"/>
      <c r="IVV5" s="94"/>
      <c r="IVW5" s="94"/>
      <c r="IVX5" s="94"/>
      <c r="IVY5" s="94"/>
      <c r="IVZ5" s="94"/>
      <c r="IWA5" s="94"/>
      <c r="IWB5" s="94"/>
      <c r="IWC5" s="94"/>
      <c r="IWD5" s="94"/>
      <c r="IWE5" s="94"/>
      <c r="IWF5" s="94"/>
      <c r="IWG5" s="94"/>
      <c r="IWH5" s="94"/>
      <c r="IWI5" s="94"/>
      <c r="IWJ5" s="94"/>
      <c r="IWK5" s="94"/>
      <c r="IWL5" s="94"/>
      <c r="IWM5" s="94"/>
      <c r="IWN5" s="94"/>
      <c r="IWO5" s="94"/>
      <c r="IWP5" s="94"/>
      <c r="IWQ5" s="94"/>
      <c r="IWR5" s="94"/>
      <c r="IWS5" s="94"/>
      <c r="IWT5" s="94"/>
      <c r="IWU5" s="94"/>
      <c r="IWV5" s="94"/>
      <c r="IWW5" s="94"/>
      <c r="IWX5" s="94"/>
      <c r="IWY5" s="94"/>
      <c r="IWZ5" s="94"/>
      <c r="IXA5" s="94"/>
      <c r="IXB5" s="94"/>
      <c r="IXC5" s="94"/>
      <c r="IXD5" s="94"/>
      <c r="IXE5" s="94"/>
      <c r="IXF5" s="94"/>
      <c r="IXG5" s="94"/>
      <c r="IXH5" s="94"/>
      <c r="IXI5" s="94"/>
      <c r="IXJ5" s="94"/>
      <c r="IXK5" s="94"/>
      <c r="IXL5" s="94"/>
      <c r="IXM5" s="94"/>
      <c r="IXN5" s="94"/>
      <c r="IXO5" s="94"/>
      <c r="IXP5" s="94"/>
      <c r="IXQ5" s="94"/>
      <c r="IXR5" s="94"/>
      <c r="IXS5" s="94"/>
      <c r="IXT5" s="94"/>
      <c r="IXU5" s="94"/>
      <c r="IXV5" s="94"/>
      <c r="IXW5" s="94"/>
      <c r="IXX5" s="94"/>
      <c r="IXY5" s="94"/>
      <c r="IXZ5" s="94"/>
      <c r="IYA5" s="94"/>
      <c r="IYB5" s="94"/>
      <c r="IYC5" s="94"/>
      <c r="IYD5" s="94"/>
      <c r="IYE5" s="94"/>
      <c r="IYF5" s="94"/>
      <c r="IYG5" s="94"/>
      <c r="IYH5" s="94"/>
      <c r="IYI5" s="94"/>
      <c r="IYJ5" s="94"/>
      <c r="IYK5" s="94"/>
      <c r="IYL5" s="94"/>
      <c r="IYM5" s="94"/>
      <c r="IYN5" s="94"/>
      <c r="IYO5" s="94"/>
      <c r="IYP5" s="94"/>
      <c r="IYQ5" s="94"/>
      <c r="IYR5" s="94"/>
      <c r="IYS5" s="94"/>
      <c r="IYT5" s="94"/>
      <c r="IYU5" s="94"/>
      <c r="IYV5" s="94"/>
      <c r="IYW5" s="94"/>
      <c r="IYX5" s="94"/>
      <c r="IYY5" s="94"/>
      <c r="IYZ5" s="94"/>
      <c r="IZA5" s="94"/>
      <c r="IZB5" s="94"/>
      <c r="IZC5" s="94"/>
      <c r="IZD5" s="94"/>
      <c r="IZE5" s="94"/>
      <c r="IZF5" s="94"/>
      <c r="IZG5" s="94"/>
      <c r="IZH5" s="94"/>
      <c r="IZI5" s="94"/>
      <c r="IZJ5" s="94"/>
      <c r="IZK5" s="94"/>
      <c r="IZL5" s="94"/>
      <c r="IZM5" s="94"/>
      <c r="IZN5" s="94"/>
      <c r="IZO5" s="94"/>
      <c r="IZP5" s="94"/>
      <c r="IZQ5" s="94"/>
      <c r="IZR5" s="94"/>
      <c r="IZS5" s="94"/>
      <c r="IZT5" s="94"/>
      <c r="IZU5" s="94"/>
      <c r="IZV5" s="94"/>
      <c r="IZW5" s="94"/>
      <c r="IZX5" s="94"/>
      <c r="IZY5" s="94"/>
      <c r="IZZ5" s="94"/>
      <c r="JAA5" s="94"/>
      <c r="JAB5" s="94"/>
      <c r="JAC5" s="94"/>
      <c r="JAD5" s="94"/>
      <c r="JAE5" s="94"/>
      <c r="JAF5" s="94"/>
      <c r="JAG5" s="94"/>
      <c r="JAH5" s="94"/>
      <c r="JAI5" s="94"/>
      <c r="JAJ5" s="94"/>
      <c r="JAK5" s="94"/>
      <c r="JAL5" s="94"/>
      <c r="JAM5" s="94"/>
      <c r="JAN5" s="94"/>
      <c r="JAO5" s="94"/>
      <c r="JAP5" s="94"/>
      <c r="JAQ5" s="94"/>
      <c r="JAR5" s="94"/>
      <c r="JAS5" s="94"/>
      <c r="JAT5" s="94"/>
      <c r="JAU5" s="94"/>
      <c r="JAV5" s="94"/>
      <c r="JAW5" s="94"/>
      <c r="JAX5" s="94"/>
      <c r="JAY5" s="94"/>
      <c r="JAZ5" s="94"/>
      <c r="JBA5" s="94"/>
      <c r="JBB5" s="94"/>
      <c r="JBC5" s="94"/>
      <c r="JBD5" s="94"/>
      <c r="JBE5" s="94"/>
      <c r="JBF5" s="94"/>
      <c r="JBG5" s="94"/>
      <c r="JBH5" s="94"/>
      <c r="JBI5" s="94"/>
      <c r="JBJ5" s="94"/>
      <c r="JBK5" s="94"/>
      <c r="JBL5" s="94"/>
      <c r="JBM5" s="94"/>
      <c r="JBN5" s="94"/>
      <c r="JBO5" s="94"/>
      <c r="JBP5" s="94"/>
      <c r="JBQ5" s="94"/>
      <c r="JBR5" s="94"/>
      <c r="JBS5" s="94"/>
      <c r="JBT5" s="94"/>
      <c r="JBU5" s="94"/>
      <c r="JBV5" s="94"/>
      <c r="JBW5" s="94"/>
      <c r="JBX5" s="94"/>
      <c r="JBY5" s="94"/>
      <c r="JBZ5" s="94"/>
      <c r="JCA5" s="94"/>
      <c r="JCB5" s="94"/>
      <c r="JCC5" s="94"/>
      <c r="JCD5" s="94"/>
      <c r="JCE5" s="94"/>
      <c r="JCF5" s="94"/>
      <c r="JCG5" s="94"/>
      <c r="JCH5" s="94"/>
      <c r="JCI5" s="94"/>
      <c r="JCJ5" s="94"/>
      <c r="JCK5" s="94"/>
      <c r="JCL5" s="94"/>
      <c r="JCM5" s="94"/>
      <c r="JCN5" s="94"/>
      <c r="JCO5" s="94"/>
      <c r="JCP5" s="94"/>
      <c r="JCQ5" s="94"/>
      <c r="JCR5" s="94"/>
      <c r="JCS5" s="94"/>
      <c r="JCT5" s="94"/>
      <c r="JCU5" s="94"/>
      <c r="JCV5" s="94"/>
      <c r="JCW5" s="94"/>
      <c r="JCX5" s="94"/>
      <c r="JCY5" s="94"/>
      <c r="JCZ5" s="94"/>
      <c r="JDA5" s="94"/>
      <c r="JDB5" s="94"/>
      <c r="JDC5" s="94"/>
      <c r="JDD5" s="94"/>
      <c r="JDE5" s="94"/>
      <c r="JDF5" s="94"/>
      <c r="JDG5" s="94"/>
      <c r="JDH5" s="94"/>
      <c r="JDI5" s="94"/>
      <c r="JDJ5" s="94"/>
      <c r="JDK5" s="94"/>
      <c r="JDL5" s="94"/>
      <c r="JDM5" s="94"/>
      <c r="JDN5" s="94"/>
      <c r="JDO5" s="94"/>
      <c r="JDP5" s="94"/>
      <c r="JDQ5" s="94"/>
      <c r="JDR5" s="94"/>
      <c r="JDS5" s="94"/>
      <c r="JDT5" s="94"/>
      <c r="JDU5" s="94"/>
      <c r="JDV5" s="94"/>
      <c r="JDW5" s="94"/>
      <c r="JDX5" s="94"/>
      <c r="JDY5" s="94"/>
      <c r="JDZ5" s="94"/>
      <c r="JEA5" s="94"/>
      <c r="JEB5" s="94"/>
      <c r="JEC5" s="94"/>
      <c r="JED5" s="94"/>
      <c r="JEE5" s="94"/>
      <c r="JEF5" s="94"/>
      <c r="JEG5" s="94"/>
      <c r="JEH5" s="94"/>
      <c r="JEI5" s="94"/>
      <c r="JEJ5" s="94"/>
      <c r="JEK5" s="94"/>
      <c r="JEL5" s="94"/>
      <c r="JEM5" s="94"/>
      <c r="JEN5" s="94"/>
      <c r="JEO5" s="94"/>
      <c r="JEP5" s="94"/>
      <c r="JEQ5" s="94"/>
      <c r="JER5" s="94"/>
      <c r="JES5" s="94"/>
      <c r="JET5" s="94"/>
      <c r="JEU5" s="94"/>
      <c r="JEV5" s="94"/>
      <c r="JEW5" s="94"/>
      <c r="JEX5" s="94"/>
      <c r="JEY5" s="94"/>
      <c r="JEZ5" s="94"/>
      <c r="JFA5" s="94"/>
      <c r="JFB5" s="94"/>
      <c r="JFC5" s="94"/>
      <c r="JFD5" s="94"/>
      <c r="JFE5" s="94"/>
      <c r="JFF5" s="94"/>
      <c r="JFG5" s="94"/>
      <c r="JFH5" s="94"/>
      <c r="JFI5" s="94"/>
      <c r="JFJ5" s="94"/>
      <c r="JFK5" s="94"/>
      <c r="JFL5" s="94"/>
      <c r="JFM5" s="94"/>
      <c r="JFN5" s="94"/>
      <c r="JFO5" s="94"/>
      <c r="JFP5" s="94"/>
      <c r="JFQ5" s="94"/>
      <c r="JFR5" s="94"/>
      <c r="JFS5" s="94"/>
      <c r="JFT5" s="94"/>
      <c r="JFU5" s="94"/>
      <c r="JFV5" s="94"/>
      <c r="JFW5" s="94"/>
      <c r="JFX5" s="94"/>
      <c r="JFY5" s="94"/>
      <c r="JFZ5" s="94"/>
      <c r="JGA5" s="94"/>
      <c r="JGB5" s="94"/>
      <c r="JGC5" s="94"/>
      <c r="JGD5" s="94"/>
      <c r="JGE5" s="94"/>
      <c r="JGF5" s="94"/>
      <c r="JGG5" s="94"/>
      <c r="JGH5" s="94"/>
      <c r="JGI5" s="94"/>
      <c r="JGJ5" s="94"/>
      <c r="JGK5" s="94"/>
      <c r="JGL5" s="94"/>
      <c r="JGM5" s="94"/>
      <c r="JGN5" s="94"/>
      <c r="JGO5" s="94"/>
      <c r="JGP5" s="94"/>
      <c r="JGQ5" s="94"/>
      <c r="JGR5" s="94"/>
      <c r="JGS5" s="94"/>
      <c r="JGT5" s="94"/>
      <c r="JGU5" s="94"/>
      <c r="JGV5" s="94"/>
      <c r="JGW5" s="94"/>
      <c r="JGX5" s="94"/>
      <c r="JGY5" s="94"/>
      <c r="JGZ5" s="94"/>
      <c r="JHA5" s="94"/>
      <c r="JHB5" s="94"/>
      <c r="JHC5" s="94"/>
      <c r="JHD5" s="94"/>
      <c r="JHE5" s="94"/>
      <c r="JHF5" s="94"/>
      <c r="JHG5" s="94"/>
      <c r="JHH5" s="94"/>
      <c r="JHI5" s="94"/>
      <c r="JHJ5" s="94"/>
      <c r="JHK5" s="94"/>
      <c r="JHL5" s="94"/>
      <c r="JHM5" s="94"/>
      <c r="JHN5" s="94"/>
      <c r="JHO5" s="94"/>
      <c r="JHP5" s="94"/>
      <c r="JHQ5" s="94"/>
      <c r="JHR5" s="94"/>
      <c r="JHS5" s="94"/>
      <c r="JHT5" s="94"/>
      <c r="JHU5" s="94"/>
      <c r="JHV5" s="94"/>
      <c r="JHW5" s="94"/>
      <c r="JHX5" s="94"/>
      <c r="JHY5" s="94"/>
      <c r="JHZ5" s="94"/>
      <c r="JIA5" s="94"/>
      <c r="JIB5" s="94"/>
      <c r="JIC5" s="94"/>
      <c r="JID5" s="94"/>
      <c r="JIE5" s="94"/>
      <c r="JIF5" s="94"/>
      <c r="JIG5" s="94"/>
      <c r="JIH5" s="94"/>
      <c r="JII5" s="94"/>
      <c r="JIJ5" s="94"/>
      <c r="JIK5" s="94"/>
      <c r="JIL5" s="94"/>
      <c r="JIM5" s="94"/>
      <c r="JIN5" s="94"/>
      <c r="JIO5" s="94"/>
      <c r="JIP5" s="94"/>
      <c r="JIQ5" s="94"/>
      <c r="JIR5" s="94"/>
      <c r="JIS5" s="94"/>
      <c r="JIT5" s="94"/>
      <c r="JIU5" s="94"/>
      <c r="JIV5" s="94"/>
      <c r="JIW5" s="94"/>
      <c r="JIX5" s="94"/>
      <c r="JIY5" s="94"/>
      <c r="JIZ5" s="94"/>
      <c r="JJA5" s="94"/>
      <c r="JJB5" s="94"/>
      <c r="JJC5" s="94"/>
      <c r="JJD5" s="94"/>
      <c r="JJE5" s="94"/>
      <c r="JJF5" s="94"/>
      <c r="JJG5" s="94"/>
      <c r="JJH5" s="94"/>
      <c r="JJI5" s="94"/>
      <c r="JJJ5" s="94"/>
      <c r="JJK5" s="94"/>
      <c r="JJL5" s="94"/>
      <c r="JJM5" s="94"/>
      <c r="JJN5" s="94"/>
      <c r="JJO5" s="94"/>
      <c r="JJP5" s="94"/>
      <c r="JJQ5" s="94"/>
      <c r="JJR5" s="94"/>
      <c r="JJS5" s="94"/>
      <c r="JJT5" s="94"/>
      <c r="JJU5" s="94"/>
      <c r="JJV5" s="94"/>
      <c r="JJW5" s="94"/>
      <c r="JJX5" s="94"/>
      <c r="JJY5" s="94"/>
      <c r="JJZ5" s="94"/>
      <c r="JKA5" s="94"/>
      <c r="JKB5" s="94"/>
      <c r="JKC5" s="94"/>
      <c r="JKD5" s="94"/>
      <c r="JKE5" s="94"/>
      <c r="JKF5" s="94"/>
      <c r="JKG5" s="94"/>
      <c r="JKH5" s="94"/>
      <c r="JKI5" s="94"/>
      <c r="JKJ5" s="94"/>
      <c r="JKK5" s="94"/>
      <c r="JKL5" s="94"/>
      <c r="JKM5" s="94"/>
      <c r="JKN5" s="94"/>
      <c r="JKO5" s="94"/>
      <c r="JKP5" s="94"/>
      <c r="JKQ5" s="94"/>
      <c r="JKR5" s="94"/>
      <c r="JKS5" s="94"/>
      <c r="JKT5" s="94"/>
      <c r="JKU5" s="94"/>
      <c r="JKV5" s="94"/>
      <c r="JKW5" s="94"/>
      <c r="JKX5" s="94"/>
      <c r="JKY5" s="94"/>
      <c r="JKZ5" s="94"/>
      <c r="JLA5" s="94"/>
      <c r="JLB5" s="94"/>
      <c r="JLC5" s="94"/>
      <c r="JLD5" s="94"/>
      <c r="JLE5" s="94"/>
      <c r="JLF5" s="94"/>
      <c r="JLG5" s="94"/>
      <c r="JLH5" s="94"/>
      <c r="JLI5" s="94"/>
      <c r="JLJ5" s="94"/>
      <c r="JLK5" s="94"/>
      <c r="JLL5" s="94"/>
      <c r="JLM5" s="94"/>
      <c r="JLN5" s="94"/>
      <c r="JLO5" s="94"/>
      <c r="JLP5" s="94"/>
      <c r="JLQ5" s="94"/>
      <c r="JLR5" s="94"/>
      <c r="JLS5" s="94"/>
      <c r="JLT5" s="94"/>
      <c r="JLU5" s="94"/>
      <c r="JLV5" s="94"/>
      <c r="JLW5" s="94"/>
      <c r="JLX5" s="94"/>
      <c r="JLY5" s="94"/>
      <c r="JLZ5" s="94"/>
      <c r="JMA5" s="94"/>
      <c r="JMB5" s="94"/>
      <c r="JMC5" s="94"/>
      <c r="JMD5" s="94"/>
      <c r="JME5" s="94"/>
      <c r="JMF5" s="94"/>
      <c r="JMG5" s="94"/>
      <c r="JMH5" s="94"/>
      <c r="JMI5" s="94"/>
      <c r="JMJ5" s="94"/>
      <c r="JMK5" s="94"/>
      <c r="JML5" s="94"/>
      <c r="JMM5" s="94"/>
      <c r="JMN5" s="94"/>
      <c r="JMO5" s="94"/>
      <c r="JMP5" s="94"/>
      <c r="JMQ5" s="94"/>
      <c r="JMR5" s="94"/>
      <c r="JMS5" s="94"/>
      <c r="JMT5" s="94"/>
      <c r="JMU5" s="94"/>
      <c r="JMV5" s="94"/>
      <c r="JMW5" s="94"/>
      <c r="JMX5" s="94"/>
      <c r="JMY5" s="94"/>
      <c r="JMZ5" s="94"/>
      <c r="JNA5" s="94"/>
      <c r="JNB5" s="94"/>
      <c r="JNC5" s="94"/>
      <c r="JND5" s="94"/>
      <c r="JNE5" s="94"/>
      <c r="JNF5" s="94"/>
      <c r="JNG5" s="94"/>
      <c r="JNH5" s="94"/>
      <c r="JNI5" s="94"/>
      <c r="JNJ5" s="94"/>
      <c r="JNK5" s="94"/>
      <c r="JNL5" s="94"/>
      <c r="JNM5" s="94"/>
      <c r="JNN5" s="94"/>
      <c r="JNO5" s="94"/>
      <c r="JNP5" s="94"/>
      <c r="JNQ5" s="94"/>
      <c r="JNR5" s="94"/>
      <c r="JNS5" s="94"/>
      <c r="JNT5" s="94"/>
      <c r="JNU5" s="94"/>
      <c r="JNV5" s="94"/>
      <c r="JNW5" s="94"/>
      <c r="JNX5" s="94"/>
      <c r="JNY5" s="94"/>
      <c r="JNZ5" s="94"/>
      <c r="JOA5" s="94"/>
      <c r="JOB5" s="94"/>
      <c r="JOC5" s="94"/>
      <c r="JOD5" s="94"/>
      <c r="JOE5" s="94"/>
      <c r="JOF5" s="94"/>
      <c r="JOG5" s="94"/>
      <c r="JOH5" s="94"/>
      <c r="JOI5" s="94"/>
      <c r="JOJ5" s="94"/>
      <c r="JOK5" s="94"/>
      <c r="JOL5" s="94"/>
      <c r="JOM5" s="94"/>
      <c r="JON5" s="94"/>
      <c r="JOO5" s="94"/>
      <c r="JOP5" s="94"/>
      <c r="JOQ5" s="94"/>
      <c r="JOR5" s="94"/>
      <c r="JOS5" s="94"/>
      <c r="JOT5" s="94"/>
      <c r="JOU5" s="94"/>
      <c r="JOV5" s="94"/>
      <c r="JOW5" s="94"/>
      <c r="JOX5" s="94"/>
      <c r="JOY5" s="94"/>
      <c r="JOZ5" s="94"/>
      <c r="JPA5" s="94"/>
      <c r="JPB5" s="94"/>
      <c r="JPC5" s="94"/>
      <c r="JPD5" s="94"/>
      <c r="JPE5" s="94"/>
      <c r="JPF5" s="94"/>
      <c r="JPG5" s="94"/>
      <c r="JPH5" s="94"/>
      <c r="JPI5" s="94"/>
      <c r="JPJ5" s="94"/>
      <c r="JPK5" s="94"/>
      <c r="JPL5" s="94"/>
      <c r="JPM5" s="94"/>
      <c r="JPN5" s="94"/>
      <c r="JPO5" s="94"/>
      <c r="JPP5" s="94"/>
      <c r="JPQ5" s="94"/>
      <c r="JPR5" s="94"/>
      <c r="JPS5" s="94"/>
      <c r="JPT5" s="94"/>
      <c r="JPU5" s="94"/>
      <c r="JPV5" s="94"/>
      <c r="JPW5" s="94"/>
      <c r="JPX5" s="94"/>
      <c r="JPY5" s="94"/>
      <c r="JPZ5" s="94"/>
      <c r="JQA5" s="94"/>
      <c r="JQB5" s="94"/>
      <c r="JQC5" s="94"/>
      <c r="JQD5" s="94"/>
      <c r="JQE5" s="94"/>
      <c r="JQF5" s="94"/>
      <c r="JQG5" s="94"/>
      <c r="JQH5" s="94"/>
      <c r="JQI5" s="94"/>
      <c r="JQJ5" s="94"/>
      <c r="JQK5" s="94"/>
      <c r="JQL5" s="94"/>
      <c r="JQM5" s="94"/>
      <c r="JQN5" s="94"/>
      <c r="JQO5" s="94"/>
      <c r="JQP5" s="94"/>
      <c r="JQQ5" s="94"/>
      <c r="JQR5" s="94"/>
      <c r="JQS5" s="94"/>
      <c r="JQT5" s="94"/>
      <c r="JQU5" s="94"/>
      <c r="JQV5" s="94"/>
      <c r="JQW5" s="94"/>
      <c r="JQX5" s="94"/>
      <c r="JQY5" s="94"/>
      <c r="JQZ5" s="94"/>
      <c r="JRA5" s="94"/>
      <c r="JRB5" s="94"/>
      <c r="JRC5" s="94"/>
      <c r="JRD5" s="94"/>
      <c r="JRE5" s="94"/>
      <c r="JRF5" s="94"/>
      <c r="JRG5" s="94"/>
      <c r="JRH5" s="94"/>
      <c r="JRI5" s="94"/>
      <c r="JRJ5" s="94"/>
      <c r="JRK5" s="94"/>
      <c r="JRL5" s="94"/>
      <c r="JRM5" s="94"/>
      <c r="JRN5" s="94"/>
      <c r="JRO5" s="94"/>
      <c r="JRP5" s="94"/>
      <c r="JRQ5" s="94"/>
      <c r="JRR5" s="94"/>
      <c r="JRS5" s="94"/>
      <c r="JRT5" s="94"/>
      <c r="JRU5" s="94"/>
      <c r="JRV5" s="94"/>
      <c r="JRW5" s="94"/>
      <c r="JRX5" s="94"/>
      <c r="JRY5" s="94"/>
      <c r="JRZ5" s="94"/>
      <c r="JSA5" s="94"/>
      <c r="JSB5" s="94"/>
      <c r="JSC5" s="94"/>
      <c r="JSD5" s="94"/>
      <c r="JSE5" s="94"/>
      <c r="JSF5" s="94"/>
      <c r="JSG5" s="94"/>
      <c r="JSH5" s="94"/>
      <c r="JSI5" s="94"/>
      <c r="JSJ5" s="94"/>
      <c r="JSK5" s="94"/>
      <c r="JSL5" s="94"/>
      <c r="JSM5" s="94"/>
      <c r="JSN5" s="94"/>
      <c r="JSO5" s="94"/>
      <c r="JSP5" s="94"/>
      <c r="JSQ5" s="94"/>
      <c r="JSR5" s="94"/>
      <c r="JSS5" s="94"/>
      <c r="JST5" s="94"/>
      <c r="JSU5" s="94"/>
      <c r="JSV5" s="94"/>
      <c r="JSW5" s="94"/>
      <c r="JSX5" s="94"/>
      <c r="JSY5" s="94"/>
      <c r="JSZ5" s="94"/>
      <c r="JTA5" s="94"/>
      <c r="JTB5" s="94"/>
      <c r="JTC5" s="94"/>
      <c r="JTD5" s="94"/>
      <c r="JTE5" s="94"/>
      <c r="JTF5" s="94"/>
      <c r="JTG5" s="94"/>
      <c r="JTH5" s="94"/>
      <c r="JTI5" s="94"/>
      <c r="JTJ5" s="94"/>
      <c r="JTK5" s="94"/>
      <c r="JTL5" s="94"/>
      <c r="JTM5" s="94"/>
      <c r="JTN5" s="94"/>
      <c r="JTO5" s="94"/>
      <c r="JTP5" s="94"/>
      <c r="JTQ5" s="94"/>
      <c r="JTR5" s="94"/>
      <c r="JTS5" s="94"/>
      <c r="JTT5" s="94"/>
      <c r="JTU5" s="94"/>
      <c r="JTV5" s="94"/>
      <c r="JTW5" s="94"/>
      <c r="JTX5" s="94"/>
      <c r="JTY5" s="94"/>
      <c r="JTZ5" s="94"/>
      <c r="JUA5" s="94"/>
      <c r="JUB5" s="94"/>
      <c r="JUC5" s="94"/>
      <c r="JUD5" s="94"/>
      <c r="JUE5" s="94"/>
      <c r="JUF5" s="94"/>
      <c r="JUG5" s="94"/>
      <c r="JUH5" s="94"/>
      <c r="JUI5" s="94"/>
      <c r="JUJ5" s="94"/>
      <c r="JUK5" s="94"/>
      <c r="JUL5" s="94"/>
      <c r="JUM5" s="94"/>
      <c r="JUN5" s="94"/>
      <c r="JUO5" s="94"/>
      <c r="JUP5" s="94"/>
      <c r="JUQ5" s="94"/>
      <c r="JUR5" s="94"/>
      <c r="JUS5" s="94"/>
      <c r="JUT5" s="94"/>
      <c r="JUU5" s="94"/>
      <c r="JUV5" s="94"/>
      <c r="JUW5" s="94"/>
      <c r="JUX5" s="94"/>
      <c r="JUY5" s="94"/>
      <c r="JUZ5" s="94"/>
      <c r="JVA5" s="94"/>
      <c r="JVB5" s="94"/>
      <c r="JVC5" s="94"/>
      <c r="JVD5" s="94"/>
      <c r="JVE5" s="94"/>
      <c r="JVF5" s="94"/>
      <c r="JVG5" s="94"/>
      <c r="JVH5" s="94"/>
      <c r="JVI5" s="94"/>
      <c r="JVJ5" s="94"/>
      <c r="JVK5" s="94"/>
      <c r="JVL5" s="94"/>
      <c r="JVM5" s="94"/>
      <c r="JVN5" s="94"/>
      <c r="JVO5" s="94"/>
      <c r="JVP5" s="94"/>
      <c r="JVQ5" s="94"/>
      <c r="JVR5" s="94"/>
      <c r="JVS5" s="94"/>
      <c r="JVT5" s="94"/>
      <c r="JVU5" s="94"/>
      <c r="JVV5" s="94"/>
      <c r="JVW5" s="94"/>
      <c r="JVX5" s="94"/>
      <c r="JVY5" s="94"/>
      <c r="JVZ5" s="94"/>
      <c r="JWA5" s="94"/>
      <c r="JWB5" s="94"/>
      <c r="JWC5" s="94"/>
      <c r="JWD5" s="94"/>
      <c r="JWE5" s="94"/>
      <c r="JWF5" s="94"/>
      <c r="JWG5" s="94"/>
      <c r="JWH5" s="94"/>
      <c r="JWI5" s="94"/>
      <c r="JWJ5" s="94"/>
      <c r="JWK5" s="94"/>
      <c r="JWL5" s="94"/>
      <c r="JWM5" s="94"/>
      <c r="JWN5" s="94"/>
      <c r="JWO5" s="94"/>
      <c r="JWP5" s="94"/>
      <c r="JWQ5" s="94"/>
      <c r="JWR5" s="94"/>
      <c r="JWS5" s="94"/>
      <c r="JWT5" s="94"/>
      <c r="JWU5" s="94"/>
      <c r="JWV5" s="94"/>
      <c r="JWW5" s="94"/>
      <c r="JWX5" s="94"/>
      <c r="JWY5" s="94"/>
      <c r="JWZ5" s="94"/>
      <c r="JXA5" s="94"/>
      <c r="JXB5" s="94"/>
      <c r="JXC5" s="94"/>
      <c r="JXD5" s="94"/>
      <c r="JXE5" s="94"/>
      <c r="JXF5" s="94"/>
      <c r="JXG5" s="94"/>
      <c r="JXH5" s="94"/>
      <c r="JXI5" s="94"/>
      <c r="JXJ5" s="94"/>
      <c r="JXK5" s="94"/>
      <c r="JXL5" s="94"/>
      <c r="JXM5" s="94"/>
      <c r="JXN5" s="94"/>
      <c r="JXO5" s="94"/>
      <c r="JXP5" s="94"/>
      <c r="JXQ5" s="94"/>
      <c r="JXR5" s="94"/>
      <c r="JXS5" s="94"/>
      <c r="JXT5" s="94"/>
      <c r="JXU5" s="94"/>
      <c r="JXV5" s="94"/>
      <c r="JXW5" s="94"/>
      <c r="JXX5" s="94"/>
      <c r="JXY5" s="94"/>
      <c r="JXZ5" s="94"/>
      <c r="JYA5" s="94"/>
      <c r="JYB5" s="94"/>
      <c r="JYC5" s="94"/>
      <c r="JYD5" s="94"/>
      <c r="JYE5" s="94"/>
      <c r="JYF5" s="94"/>
      <c r="JYG5" s="94"/>
      <c r="JYH5" s="94"/>
      <c r="JYI5" s="94"/>
      <c r="JYJ5" s="94"/>
      <c r="JYK5" s="94"/>
      <c r="JYL5" s="94"/>
      <c r="JYM5" s="94"/>
      <c r="JYN5" s="94"/>
      <c r="JYO5" s="94"/>
      <c r="JYP5" s="94"/>
      <c r="JYQ5" s="94"/>
      <c r="JYR5" s="94"/>
      <c r="JYS5" s="94"/>
      <c r="JYT5" s="94"/>
      <c r="JYU5" s="94"/>
      <c r="JYV5" s="94"/>
      <c r="JYW5" s="94"/>
      <c r="JYX5" s="94"/>
      <c r="JYY5" s="94"/>
      <c r="JYZ5" s="94"/>
      <c r="JZA5" s="94"/>
      <c r="JZB5" s="94"/>
      <c r="JZC5" s="94"/>
      <c r="JZD5" s="94"/>
      <c r="JZE5" s="94"/>
      <c r="JZF5" s="94"/>
      <c r="JZG5" s="94"/>
      <c r="JZH5" s="94"/>
      <c r="JZI5" s="94"/>
      <c r="JZJ5" s="94"/>
      <c r="JZK5" s="94"/>
      <c r="JZL5" s="94"/>
      <c r="JZM5" s="94"/>
      <c r="JZN5" s="94"/>
      <c r="JZO5" s="94"/>
      <c r="JZP5" s="94"/>
      <c r="JZQ5" s="94"/>
      <c r="JZR5" s="94"/>
      <c r="JZS5" s="94"/>
      <c r="JZT5" s="94"/>
      <c r="JZU5" s="94"/>
      <c r="JZV5" s="94"/>
      <c r="JZW5" s="94"/>
      <c r="JZX5" s="94"/>
      <c r="JZY5" s="94"/>
      <c r="JZZ5" s="94"/>
      <c r="KAA5" s="94"/>
      <c r="KAB5" s="94"/>
      <c r="KAC5" s="94"/>
      <c r="KAD5" s="94"/>
      <c r="KAE5" s="94"/>
      <c r="KAF5" s="94"/>
      <c r="KAG5" s="94"/>
      <c r="KAH5" s="94"/>
      <c r="KAI5" s="94"/>
      <c r="KAJ5" s="94"/>
      <c r="KAK5" s="94"/>
      <c r="KAL5" s="94"/>
      <c r="KAM5" s="94"/>
      <c r="KAN5" s="94"/>
      <c r="KAO5" s="94"/>
      <c r="KAP5" s="94"/>
      <c r="KAQ5" s="94"/>
      <c r="KAR5" s="94"/>
      <c r="KAS5" s="94"/>
      <c r="KAT5" s="94"/>
      <c r="KAU5" s="94"/>
      <c r="KAV5" s="94"/>
      <c r="KAW5" s="94"/>
      <c r="KAX5" s="94"/>
      <c r="KAY5" s="94"/>
      <c r="KAZ5" s="94"/>
      <c r="KBA5" s="94"/>
      <c r="KBB5" s="94"/>
      <c r="KBC5" s="94"/>
      <c r="KBD5" s="94"/>
      <c r="KBE5" s="94"/>
      <c r="KBF5" s="94"/>
      <c r="KBG5" s="94"/>
      <c r="KBH5" s="94"/>
      <c r="KBI5" s="94"/>
      <c r="KBJ5" s="94"/>
      <c r="KBK5" s="94"/>
      <c r="KBL5" s="94"/>
      <c r="KBM5" s="94"/>
      <c r="KBN5" s="94"/>
      <c r="KBO5" s="94"/>
      <c r="KBP5" s="94"/>
      <c r="KBQ5" s="94"/>
      <c r="KBR5" s="94"/>
      <c r="KBS5" s="94"/>
      <c r="KBT5" s="94"/>
      <c r="KBU5" s="94"/>
      <c r="KBV5" s="94"/>
      <c r="KBW5" s="94"/>
      <c r="KBX5" s="94"/>
      <c r="KBY5" s="94"/>
      <c r="KBZ5" s="94"/>
      <c r="KCA5" s="94"/>
      <c r="KCB5" s="94"/>
      <c r="KCC5" s="94"/>
      <c r="KCD5" s="94"/>
      <c r="KCE5" s="94"/>
      <c r="KCF5" s="94"/>
      <c r="KCG5" s="94"/>
      <c r="KCH5" s="94"/>
      <c r="KCI5" s="94"/>
      <c r="KCJ5" s="94"/>
      <c r="KCK5" s="94"/>
      <c r="KCL5" s="94"/>
      <c r="KCM5" s="94"/>
      <c r="KCN5" s="94"/>
      <c r="KCO5" s="94"/>
      <c r="KCP5" s="94"/>
      <c r="KCQ5" s="94"/>
      <c r="KCR5" s="94"/>
      <c r="KCS5" s="94"/>
      <c r="KCT5" s="94"/>
      <c r="KCU5" s="94"/>
      <c r="KCV5" s="94"/>
      <c r="KCW5" s="94"/>
      <c r="KCX5" s="94"/>
      <c r="KCY5" s="94"/>
      <c r="KCZ5" s="94"/>
      <c r="KDA5" s="94"/>
      <c r="KDB5" s="94"/>
      <c r="KDC5" s="94"/>
      <c r="KDD5" s="94"/>
      <c r="KDE5" s="94"/>
      <c r="KDF5" s="94"/>
      <c r="KDG5" s="94"/>
      <c r="KDH5" s="94"/>
      <c r="KDI5" s="94"/>
      <c r="KDJ5" s="94"/>
      <c r="KDK5" s="94"/>
      <c r="KDL5" s="94"/>
      <c r="KDM5" s="94"/>
      <c r="KDN5" s="94"/>
      <c r="KDO5" s="94"/>
      <c r="KDP5" s="94"/>
      <c r="KDQ5" s="94"/>
      <c r="KDR5" s="94"/>
      <c r="KDS5" s="94"/>
      <c r="KDT5" s="94"/>
      <c r="KDU5" s="94"/>
      <c r="KDV5" s="94"/>
      <c r="KDW5" s="94"/>
      <c r="KDX5" s="94"/>
      <c r="KDY5" s="94"/>
      <c r="KDZ5" s="94"/>
      <c r="KEA5" s="94"/>
      <c r="KEB5" s="94"/>
      <c r="KEC5" s="94"/>
      <c r="KED5" s="94"/>
      <c r="KEE5" s="94"/>
      <c r="KEF5" s="94"/>
      <c r="KEG5" s="94"/>
      <c r="KEH5" s="94"/>
      <c r="KEI5" s="94"/>
      <c r="KEJ5" s="94"/>
      <c r="KEK5" s="94"/>
      <c r="KEL5" s="94"/>
      <c r="KEM5" s="94"/>
      <c r="KEN5" s="94"/>
      <c r="KEO5" s="94"/>
      <c r="KEP5" s="94"/>
      <c r="KEQ5" s="94"/>
      <c r="KER5" s="94"/>
      <c r="KES5" s="94"/>
      <c r="KET5" s="94"/>
      <c r="KEU5" s="94"/>
      <c r="KEV5" s="94"/>
      <c r="KEW5" s="94"/>
      <c r="KEX5" s="94"/>
      <c r="KEY5" s="94"/>
      <c r="KEZ5" s="94"/>
      <c r="KFA5" s="94"/>
      <c r="KFB5" s="94"/>
      <c r="KFC5" s="94"/>
      <c r="KFD5" s="94"/>
      <c r="KFE5" s="94"/>
      <c r="KFF5" s="94"/>
      <c r="KFG5" s="94"/>
      <c r="KFH5" s="94"/>
      <c r="KFI5" s="94"/>
      <c r="KFJ5" s="94"/>
      <c r="KFK5" s="94"/>
      <c r="KFL5" s="94"/>
      <c r="KFM5" s="94"/>
      <c r="KFN5" s="94"/>
      <c r="KFO5" s="94"/>
      <c r="KFP5" s="94"/>
      <c r="KFQ5" s="94"/>
      <c r="KFR5" s="94"/>
      <c r="KFS5" s="94"/>
      <c r="KFT5" s="94"/>
      <c r="KFU5" s="94"/>
      <c r="KFV5" s="94"/>
      <c r="KFW5" s="94"/>
      <c r="KFX5" s="94"/>
      <c r="KFY5" s="94"/>
      <c r="KFZ5" s="94"/>
      <c r="KGA5" s="94"/>
      <c r="KGB5" s="94"/>
      <c r="KGC5" s="94"/>
      <c r="KGD5" s="94"/>
      <c r="KGE5" s="94"/>
      <c r="KGF5" s="94"/>
      <c r="KGG5" s="94"/>
      <c r="KGH5" s="94"/>
      <c r="KGI5" s="94"/>
      <c r="KGJ5" s="94"/>
      <c r="KGK5" s="94"/>
      <c r="KGL5" s="94"/>
      <c r="KGM5" s="94"/>
      <c r="KGN5" s="94"/>
      <c r="KGO5" s="94"/>
      <c r="KGP5" s="94"/>
      <c r="KGQ5" s="94"/>
      <c r="KGR5" s="94"/>
      <c r="KGS5" s="94"/>
      <c r="KGT5" s="94"/>
      <c r="KGU5" s="94"/>
      <c r="KGV5" s="94"/>
      <c r="KGW5" s="94"/>
      <c r="KGX5" s="94"/>
      <c r="KGY5" s="94"/>
      <c r="KGZ5" s="94"/>
      <c r="KHA5" s="94"/>
      <c r="KHB5" s="94"/>
      <c r="KHC5" s="94"/>
      <c r="KHD5" s="94"/>
      <c r="KHE5" s="94"/>
      <c r="KHF5" s="94"/>
      <c r="KHG5" s="94"/>
      <c r="KHH5" s="94"/>
      <c r="KHI5" s="94"/>
      <c r="KHJ5" s="94"/>
      <c r="KHK5" s="94"/>
      <c r="KHL5" s="94"/>
      <c r="KHM5" s="94"/>
      <c r="KHN5" s="94"/>
      <c r="KHO5" s="94"/>
      <c r="KHP5" s="94"/>
      <c r="KHQ5" s="94"/>
      <c r="KHR5" s="94"/>
      <c r="KHS5" s="94"/>
      <c r="KHT5" s="94"/>
      <c r="KHU5" s="94"/>
      <c r="KHV5" s="94"/>
      <c r="KHW5" s="94"/>
      <c r="KHX5" s="94"/>
      <c r="KHY5" s="94"/>
      <c r="KHZ5" s="94"/>
      <c r="KIA5" s="94"/>
      <c r="KIB5" s="94"/>
      <c r="KIC5" s="94"/>
      <c r="KID5" s="94"/>
      <c r="KIE5" s="94"/>
      <c r="KIF5" s="94"/>
      <c r="KIG5" s="94"/>
      <c r="KIH5" s="94"/>
      <c r="KII5" s="94"/>
      <c r="KIJ5" s="94"/>
      <c r="KIK5" s="94"/>
      <c r="KIL5" s="94"/>
      <c r="KIM5" s="94"/>
      <c r="KIN5" s="94"/>
      <c r="KIO5" s="94"/>
      <c r="KIP5" s="94"/>
      <c r="KIQ5" s="94"/>
      <c r="KIR5" s="94"/>
      <c r="KIS5" s="94"/>
      <c r="KIT5" s="94"/>
      <c r="KIU5" s="94"/>
      <c r="KIV5" s="94"/>
      <c r="KIW5" s="94"/>
      <c r="KIX5" s="94"/>
      <c r="KIY5" s="94"/>
      <c r="KIZ5" s="94"/>
      <c r="KJA5" s="94"/>
      <c r="KJB5" s="94"/>
      <c r="KJC5" s="94"/>
      <c r="KJD5" s="94"/>
      <c r="KJE5" s="94"/>
      <c r="KJF5" s="94"/>
      <c r="KJG5" s="94"/>
      <c r="KJH5" s="94"/>
      <c r="KJI5" s="94"/>
      <c r="KJJ5" s="94"/>
      <c r="KJK5" s="94"/>
      <c r="KJL5" s="94"/>
      <c r="KJM5" s="94"/>
      <c r="KJN5" s="94"/>
      <c r="KJO5" s="94"/>
      <c r="KJP5" s="94"/>
      <c r="KJQ5" s="94"/>
      <c r="KJR5" s="94"/>
      <c r="KJS5" s="94"/>
      <c r="KJT5" s="94"/>
      <c r="KJU5" s="94"/>
      <c r="KJV5" s="94"/>
      <c r="KJW5" s="94"/>
      <c r="KJX5" s="94"/>
      <c r="KJY5" s="94"/>
      <c r="KJZ5" s="94"/>
      <c r="KKA5" s="94"/>
      <c r="KKB5" s="94"/>
      <c r="KKC5" s="94"/>
      <c r="KKD5" s="94"/>
      <c r="KKE5" s="94"/>
      <c r="KKF5" s="94"/>
      <c r="KKG5" s="94"/>
      <c r="KKH5" s="94"/>
      <c r="KKI5" s="94"/>
      <c r="KKJ5" s="94"/>
      <c r="KKK5" s="94"/>
      <c r="KKL5" s="94"/>
      <c r="KKM5" s="94"/>
      <c r="KKN5" s="94"/>
      <c r="KKO5" s="94"/>
      <c r="KKP5" s="94"/>
      <c r="KKQ5" s="94"/>
      <c r="KKR5" s="94"/>
      <c r="KKS5" s="94"/>
      <c r="KKT5" s="94"/>
      <c r="KKU5" s="94"/>
      <c r="KKV5" s="94"/>
      <c r="KKW5" s="94"/>
      <c r="KKX5" s="94"/>
      <c r="KKY5" s="94"/>
      <c r="KKZ5" s="94"/>
      <c r="KLA5" s="94"/>
      <c r="KLB5" s="94"/>
      <c r="KLC5" s="94"/>
      <c r="KLD5" s="94"/>
      <c r="KLE5" s="94"/>
      <c r="KLF5" s="94"/>
      <c r="KLG5" s="94"/>
      <c r="KLH5" s="94"/>
      <c r="KLI5" s="94"/>
      <c r="KLJ5" s="94"/>
      <c r="KLK5" s="94"/>
      <c r="KLL5" s="94"/>
      <c r="KLM5" s="94"/>
      <c r="KLN5" s="94"/>
      <c r="KLO5" s="94"/>
      <c r="KLP5" s="94"/>
      <c r="KLQ5" s="94"/>
      <c r="KLR5" s="94"/>
      <c r="KLS5" s="94"/>
      <c r="KLT5" s="94"/>
      <c r="KLU5" s="94"/>
      <c r="KLV5" s="94"/>
      <c r="KLW5" s="94"/>
      <c r="KLX5" s="94"/>
      <c r="KLY5" s="94"/>
      <c r="KLZ5" s="94"/>
      <c r="KMA5" s="94"/>
      <c r="KMB5" s="94"/>
      <c r="KMC5" s="94"/>
      <c r="KMD5" s="94"/>
      <c r="KME5" s="94"/>
      <c r="KMF5" s="94"/>
      <c r="KMG5" s="94"/>
      <c r="KMH5" s="94"/>
      <c r="KMI5" s="94"/>
      <c r="KMJ5" s="94"/>
      <c r="KMK5" s="94"/>
      <c r="KML5" s="94"/>
      <c r="KMM5" s="94"/>
      <c r="KMN5" s="94"/>
      <c r="KMO5" s="94"/>
      <c r="KMP5" s="94"/>
      <c r="KMQ5" s="94"/>
      <c r="KMR5" s="94"/>
      <c r="KMS5" s="94"/>
      <c r="KMT5" s="94"/>
      <c r="KMU5" s="94"/>
      <c r="KMV5" s="94"/>
      <c r="KMW5" s="94"/>
      <c r="KMX5" s="94"/>
      <c r="KMY5" s="94"/>
      <c r="KMZ5" s="94"/>
      <c r="KNA5" s="94"/>
      <c r="KNB5" s="94"/>
      <c r="KNC5" s="94"/>
      <c r="KND5" s="94"/>
      <c r="KNE5" s="94"/>
      <c r="KNF5" s="94"/>
      <c r="KNG5" s="94"/>
      <c r="KNH5" s="94"/>
      <c r="KNI5" s="94"/>
      <c r="KNJ5" s="94"/>
      <c r="KNK5" s="94"/>
      <c r="KNL5" s="94"/>
      <c r="KNM5" s="94"/>
      <c r="KNN5" s="94"/>
      <c r="KNO5" s="94"/>
      <c r="KNP5" s="94"/>
      <c r="KNQ5" s="94"/>
      <c r="KNR5" s="94"/>
      <c r="KNS5" s="94"/>
      <c r="KNT5" s="94"/>
      <c r="KNU5" s="94"/>
      <c r="KNV5" s="94"/>
      <c r="KNW5" s="94"/>
      <c r="KNX5" s="94"/>
      <c r="KNY5" s="94"/>
      <c r="KNZ5" s="94"/>
      <c r="KOA5" s="94"/>
      <c r="KOB5" s="94"/>
      <c r="KOC5" s="94"/>
      <c r="KOD5" s="94"/>
      <c r="KOE5" s="94"/>
      <c r="KOF5" s="94"/>
      <c r="KOG5" s="94"/>
      <c r="KOH5" s="94"/>
      <c r="KOI5" s="94"/>
      <c r="KOJ5" s="94"/>
      <c r="KOK5" s="94"/>
      <c r="KOL5" s="94"/>
      <c r="KOM5" s="94"/>
      <c r="KON5" s="94"/>
      <c r="KOO5" s="94"/>
      <c r="KOP5" s="94"/>
      <c r="KOQ5" s="94"/>
      <c r="KOR5" s="94"/>
      <c r="KOS5" s="94"/>
      <c r="KOT5" s="94"/>
      <c r="KOU5" s="94"/>
      <c r="KOV5" s="94"/>
      <c r="KOW5" s="94"/>
      <c r="KOX5" s="94"/>
      <c r="KOY5" s="94"/>
      <c r="KOZ5" s="94"/>
      <c r="KPA5" s="94"/>
      <c r="KPB5" s="94"/>
      <c r="KPC5" s="94"/>
      <c r="KPD5" s="94"/>
      <c r="KPE5" s="94"/>
      <c r="KPF5" s="94"/>
      <c r="KPG5" s="94"/>
      <c r="KPH5" s="94"/>
      <c r="KPI5" s="94"/>
      <c r="KPJ5" s="94"/>
      <c r="KPK5" s="94"/>
      <c r="KPL5" s="94"/>
      <c r="KPM5" s="94"/>
      <c r="KPN5" s="94"/>
      <c r="KPO5" s="94"/>
      <c r="KPP5" s="94"/>
      <c r="KPQ5" s="94"/>
      <c r="KPR5" s="94"/>
      <c r="KPS5" s="94"/>
      <c r="KPT5" s="94"/>
      <c r="KPU5" s="94"/>
      <c r="KPV5" s="94"/>
      <c r="KPW5" s="94"/>
      <c r="KPX5" s="94"/>
      <c r="KPY5" s="94"/>
      <c r="KPZ5" s="94"/>
      <c r="KQA5" s="94"/>
      <c r="KQB5" s="94"/>
      <c r="KQC5" s="94"/>
      <c r="KQD5" s="94"/>
      <c r="KQE5" s="94"/>
      <c r="KQF5" s="94"/>
      <c r="KQG5" s="94"/>
      <c r="KQH5" s="94"/>
      <c r="KQI5" s="94"/>
      <c r="KQJ5" s="94"/>
      <c r="KQK5" s="94"/>
      <c r="KQL5" s="94"/>
      <c r="KQM5" s="94"/>
      <c r="KQN5" s="94"/>
      <c r="KQO5" s="94"/>
      <c r="KQP5" s="94"/>
      <c r="KQQ5" s="94"/>
      <c r="KQR5" s="94"/>
      <c r="KQS5" s="94"/>
      <c r="KQT5" s="94"/>
      <c r="KQU5" s="94"/>
      <c r="KQV5" s="94"/>
      <c r="KQW5" s="94"/>
      <c r="KQX5" s="94"/>
      <c r="KQY5" s="94"/>
      <c r="KQZ5" s="94"/>
      <c r="KRA5" s="94"/>
      <c r="KRB5" s="94"/>
      <c r="KRC5" s="94"/>
      <c r="KRD5" s="94"/>
      <c r="KRE5" s="94"/>
      <c r="KRF5" s="94"/>
      <c r="KRG5" s="94"/>
      <c r="KRH5" s="94"/>
      <c r="KRI5" s="94"/>
      <c r="KRJ5" s="94"/>
      <c r="KRK5" s="94"/>
      <c r="KRL5" s="94"/>
      <c r="KRM5" s="94"/>
      <c r="KRN5" s="94"/>
      <c r="KRO5" s="94"/>
      <c r="KRP5" s="94"/>
      <c r="KRQ5" s="94"/>
      <c r="KRR5" s="94"/>
      <c r="KRS5" s="94"/>
      <c r="KRT5" s="94"/>
      <c r="KRU5" s="94"/>
      <c r="KRV5" s="94"/>
      <c r="KRW5" s="94"/>
      <c r="KRX5" s="94"/>
      <c r="KRY5" s="94"/>
      <c r="KRZ5" s="94"/>
      <c r="KSA5" s="94"/>
      <c r="KSB5" s="94"/>
      <c r="KSC5" s="94"/>
      <c r="KSD5" s="94"/>
      <c r="KSE5" s="94"/>
      <c r="KSF5" s="94"/>
      <c r="KSG5" s="94"/>
      <c r="KSH5" s="94"/>
      <c r="KSI5" s="94"/>
      <c r="KSJ5" s="94"/>
      <c r="KSK5" s="94"/>
      <c r="KSL5" s="94"/>
      <c r="KSM5" s="94"/>
      <c r="KSN5" s="94"/>
      <c r="KSO5" s="94"/>
      <c r="KSP5" s="94"/>
      <c r="KSQ5" s="94"/>
      <c r="KSR5" s="94"/>
      <c r="KSS5" s="94"/>
      <c r="KST5" s="94"/>
      <c r="KSU5" s="94"/>
      <c r="KSV5" s="94"/>
      <c r="KSW5" s="94"/>
      <c r="KSX5" s="94"/>
      <c r="KSY5" s="94"/>
      <c r="KSZ5" s="94"/>
      <c r="KTA5" s="94"/>
      <c r="KTB5" s="94"/>
      <c r="KTC5" s="94"/>
      <c r="KTD5" s="94"/>
      <c r="KTE5" s="94"/>
      <c r="KTF5" s="94"/>
      <c r="KTG5" s="94"/>
      <c r="KTH5" s="94"/>
      <c r="KTI5" s="94"/>
      <c r="KTJ5" s="94"/>
      <c r="KTK5" s="94"/>
      <c r="KTL5" s="94"/>
      <c r="KTM5" s="94"/>
      <c r="KTN5" s="94"/>
      <c r="KTO5" s="94"/>
      <c r="KTP5" s="94"/>
      <c r="KTQ5" s="94"/>
      <c r="KTR5" s="94"/>
      <c r="KTS5" s="94"/>
      <c r="KTT5" s="94"/>
      <c r="KTU5" s="94"/>
      <c r="KTV5" s="94"/>
      <c r="KTW5" s="94"/>
      <c r="KTX5" s="94"/>
      <c r="KTY5" s="94"/>
      <c r="KTZ5" s="94"/>
      <c r="KUA5" s="94"/>
      <c r="KUB5" s="94"/>
      <c r="KUC5" s="94"/>
      <c r="KUD5" s="94"/>
      <c r="KUE5" s="94"/>
      <c r="KUF5" s="94"/>
      <c r="KUG5" s="94"/>
      <c r="KUH5" s="94"/>
      <c r="KUI5" s="94"/>
      <c r="KUJ5" s="94"/>
      <c r="KUK5" s="94"/>
      <c r="KUL5" s="94"/>
      <c r="KUM5" s="94"/>
      <c r="KUN5" s="94"/>
      <c r="KUO5" s="94"/>
      <c r="KUP5" s="94"/>
      <c r="KUQ5" s="94"/>
      <c r="KUR5" s="94"/>
      <c r="KUS5" s="94"/>
      <c r="KUT5" s="94"/>
      <c r="KUU5" s="94"/>
      <c r="KUV5" s="94"/>
      <c r="KUW5" s="94"/>
      <c r="KUX5" s="94"/>
      <c r="KUY5" s="94"/>
      <c r="KUZ5" s="94"/>
      <c r="KVA5" s="94"/>
      <c r="KVB5" s="94"/>
      <c r="KVC5" s="94"/>
      <c r="KVD5" s="94"/>
      <c r="KVE5" s="94"/>
      <c r="KVF5" s="94"/>
      <c r="KVG5" s="94"/>
      <c r="KVH5" s="94"/>
      <c r="KVI5" s="94"/>
      <c r="KVJ5" s="94"/>
      <c r="KVK5" s="94"/>
      <c r="KVL5" s="94"/>
      <c r="KVM5" s="94"/>
      <c r="KVN5" s="94"/>
      <c r="KVO5" s="94"/>
      <c r="KVP5" s="94"/>
      <c r="KVQ5" s="94"/>
      <c r="KVR5" s="94"/>
      <c r="KVS5" s="94"/>
      <c r="KVT5" s="94"/>
      <c r="KVU5" s="94"/>
      <c r="KVV5" s="94"/>
      <c r="KVW5" s="94"/>
      <c r="KVX5" s="94"/>
      <c r="KVY5" s="94"/>
      <c r="KVZ5" s="94"/>
      <c r="KWA5" s="94"/>
      <c r="KWB5" s="94"/>
      <c r="KWC5" s="94"/>
      <c r="KWD5" s="94"/>
      <c r="KWE5" s="94"/>
      <c r="KWF5" s="94"/>
      <c r="KWG5" s="94"/>
      <c r="KWH5" s="94"/>
      <c r="KWI5" s="94"/>
      <c r="KWJ5" s="94"/>
      <c r="KWK5" s="94"/>
      <c r="KWL5" s="94"/>
      <c r="KWM5" s="94"/>
      <c r="KWN5" s="94"/>
      <c r="KWO5" s="94"/>
      <c r="KWP5" s="94"/>
      <c r="KWQ5" s="94"/>
      <c r="KWR5" s="94"/>
      <c r="KWS5" s="94"/>
      <c r="KWT5" s="94"/>
      <c r="KWU5" s="94"/>
      <c r="KWV5" s="94"/>
      <c r="KWW5" s="94"/>
      <c r="KWX5" s="94"/>
      <c r="KWY5" s="94"/>
      <c r="KWZ5" s="94"/>
      <c r="KXA5" s="94"/>
      <c r="KXB5" s="94"/>
      <c r="KXC5" s="94"/>
      <c r="KXD5" s="94"/>
      <c r="KXE5" s="94"/>
      <c r="KXF5" s="94"/>
      <c r="KXG5" s="94"/>
      <c r="KXH5" s="94"/>
      <c r="KXI5" s="94"/>
      <c r="KXJ5" s="94"/>
      <c r="KXK5" s="94"/>
      <c r="KXL5" s="94"/>
      <c r="KXM5" s="94"/>
      <c r="KXN5" s="94"/>
      <c r="KXO5" s="94"/>
      <c r="KXP5" s="94"/>
      <c r="KXQ5" s="94"/>
      <c r="KXR5" s="94"/>
      <c r="KXS5" s="94"/>
      <c r="KXT5" s="94"/>
      <c r="KXU5" s="94"/>
      <c r="KXV5" s="94"/>
      <c r="KXW5" s="94"/>
      <c r="KXX5" s="94"/>
      <c r="KXY5" s="94"/>
      <c r="KXZ5" s="94"/>
      <c r="KYA5" s="94"/>
      <c r="KYB5" s="94"/>
      <c r="KYC5" s="94"/>
      <c r="KYD5" s="94"/>
      <c r="KYE5" s="94"/>
      <c r="KYF5" s="94"/>
      <c r="KYG5" s="94"/>
      <c r="KYH5" s="94"/>
      <c r="KYI5" s="94"/>
      <c r="KYJ5" s="94"/>
      <c r="KYK5" s="94"/>
      <c r="KYL5" s="94"/>
      <c r="KYM5" s="94"/>
      <c r="KYN5" s="94"/>
      <c r="KYO5" s="94"/>
      <c r="KYP5" s="94"/>
      <c r="KYQ5" s="94"/>
      <c r="KYR5" s="94"/>
      <c r="KYS5" s="94"/>
      <c r="KYT5" s="94"/>
      <c r="KYU5" s="94"/>
      <c r="KYV5" s="94"/>
      <c r="KYW5" s="94"/>
      <c r="KYX5" s="94"/>
      <c r="KYY5" s="94"/>
      <c r="KYZ5" s="94"/>
      <c r="KZA5" s="94"/>
      <c r="KZB5" s="94"/>
      <c r="KZC5" s="94"/>
      <c r="KZD5" s="94"/>
      <c r="KZE5" s="94"/>
      <c r="KZF5" s="94"/>
      <c r="KZG5" s="94"/>
      <c r="KZH5" s="94"/>
      <c r="KZI5" s="94"/>
      <c r="KZJ5" s="94"/>
      <c r="KZK5" s="94"/>
      <c r="KZL5" s="94"/>
      <c r="KZM5" s="94"/>
      <c r="KZN5" s="94"/>
      <c r="KZO5" s="94"/>
      <c r="KZP5" s="94"/>
      <c r="KZQ5" s="94"/>
      <c r="KZR5" s="94"/>
      <c r="KZS5" s="94"/>
      <c r="KZT5" s="94"/>
      <c r="KZU5" s="94"/>
      <c r="KZV5" s="94"/>
      <c r="KZW5" s="94"/>
      <c r="KZX5" s="94"/>
      <c r="KZY5" s="94"/>
      <c r="KZZ5" s="94"/>
      <c r="LAA5" s="94"/>
      <c r="LAB5" s="94"/>
      <c r="LAC5" s="94"/>
      <c r="LAD5" s="94"/>
      <c r="LAE5" s="94"/>
      <c r="LAF5" s="94"/>
      <c r="LAG5" s="94"/>
      <c r="LAH5" s="94"/>
      <c r="LAI5" s="94"/>
      <c r="LAJ5" s="94"/>
      <c r="LAK5" s="94"/>
      <c r="LAL5" s="94"/>
      <c r="LAM5" s="94"/>
      <c r="LAN5" s="94"/>
      <c r="LAO5" s="94"/>
      <c r="LAP5" s="94"/>
      <c r="LAQ5" s="94"/>
      <c r="LAR5" s="94"/>
      <c r="LAS5" s="94"/>
      <c r="LAT5" s="94"/>
      <c r="LAU5" s="94"/>
      <c r="LAV5" s="94"/>
      <c r="LAW5" s="94"/>
      <c r="LAX5" s="94"/>
      <c r="LAY5" s="94"/>
      <c r="LAZ5" s="94"/>
      <c r="LBA5" s="94"/>
      <c r="LBB5" s="94"/>
      <c r="LBC5" s="94"/>
      <c r="LBD5" s="94"/>
      <c r="LBE5" s="94"/>
      <c r="LBF5" s="94"/>
      <c r="LBG5" s="94"/>
      <c r="LBH5" s="94"/>
      <c r="LBI5" s="94"/>
      <c r="LBJ5" s="94"/>
      <c r="LBK5" s="94"/>
      <c r="LBL5" s="94"/>
      <c r="LBM5" s="94"/>
      <c r="LBN5" s="94"/>
      <c r="LBO5" s="94"/>
      <c r="LBP5" s="94"/>
      <c r="LBQ5" s="94"/>
      <c r="LBR5" s="94"/>
      <c r="LBS5" s="94"/>
      <c r="LBT5" s="94"/>
      <c r="LBU5" s="94"/>
      <c r="LBV5" s="94"/>
      <c r="LBW5" s="94"/>
      <c r="LBX5" s="94"/>
      <c r="LBY5" s="94"/>
      <c r="LBZ5" s="94"/>
      <c r="LCA5" s="94"/>
      <c r="LCB5" s="94"/>
      <c r="LCC5" s="94"/>
      <c r="LCD5" s="94"/>
      <c r="LCE5" s="94"/>
      <c r="LCF5" s="94"/>
      <c r="LCG5" s="94"/>
      <c r="LCH5" s="94"/>
      <c r="LCI5" s="94"/>
      <c r="LCJ5" s="94"/>
      <c r="LCK5" s="94"/>
      <c r="LCL5" s="94"/>
      <c r="LCM5" s="94"/>
      <c r="LCN5" s="94"/>
      <c r="LCO5" s="94"/>
      <c r="LCP5" s="94"/>
      <c r="LCQ5" s="94"/>
      <c r="LCR5" s="94"/>
      <c r="LCS5" s="94"/>
      <c r="LCT5" s="94"/>
      <c r="LCU5" s="94"/>
      <c r="LCV5" s="94"/>
      <c r="LCW5" s="94"/>
      <c r="LCX5" s="94"/>
      <c r="LCY5" s="94"/>
      <c r="LCZ5" s="94"/>
      <c r="LDA5" s="94"/>
      <c r="LDB5" s="94"/>
      <c r="LDC5" s="94"/>
      <c r="LDD5" s="94"/>
      <c r="LDE5" s="94"/>
      <c r="LDF5" s="94"/>
      <c r="LDG5" s="94"/>
      <c r="LDH5" s="94"/>
      <c r="LDI5" s="94"/>
      <c r="LDJ5" s="94"/>
      <c r="LDK5" s="94"/>
      <c r="LDL5" s="94"/>
      <c r="LDM5" s="94"/>
      <c r="LDN5" s="94"/>
      <c r="LDO5" s="94"/>
      <c r="LDP5" s="94"/>
      <c r="LDQ5" s="94"/>
      <c r="LDR5" s="94"/>
      <c r="LDS5" s="94"/>
      <c r="LDT5" s="94"/>
      <c r="LDU5" s="94"/>
      <c r="LDV5" s="94"/>
      <c r="LDW5" s="94"/>
      <c r="LDX5" s="94"/>
      <c r="LDY5" s="94"/>
      <c r="LDZ5" s="94"/>
      <c r="LEA5" s="94"/>
      <c r="LEB5" s="94"/>
      <c r="LEC5" s="94"/>
      <c r="LED5" s="94"/>
      <c r="LEE5" s="94"/>
      <c r="LEF5" s="94"/>
      <c r="LEG5" s="94"/>
      <c r="LEH5" s="94"/>
      <c r="LEI5" s="94"/>
      <c r="LEJ5" s="94"/>
      <c r="LEK5" s="94"/>
      <c r="LEL5" s="94"/>
      <c r="LEM5" s="94"/>
      <c r="LEN5" s="94"/>
      <c r="LEO5" s="94"/>
      <c r="LEP5" s="94"/>
      <c r="LEQ5" s="94"/>
      <c r="LER5" s="94"/>
      <c r="LES5" s="94"/>
      <c r="LET5" s="94"/>
      <c r="LEU5" s="94"/>
      <c r="LEV5" s="94"/>
      <c r="LEW5" s="94"/>
      <c r="LEX5" s="94"/>
      <c r="LEY5" s="94"/>
      <c r="LEZ5" s="94"/>
      <c r="LFA5" s="94"/>
      <c r="LFB5" s="94"/>
      <c r="LFC5" s="94"/>
      <c r="LFD5" s="94"/>
      <c r="LFE5" s="94"/>
      <c r="LFF5" s="94"/>
      <c r="LFG5" s="94"/>
      <c r="LFH5" s="94"/>
      <c r="LFI5" s="94"/>
      <c r="LFJ5" s="94"/>
      <c r="LFK5" s="94"/>
      <c r="LFL5" s="94"/>
      <c r="LFM5" s="94"/>
      <c r="LFN5" s="94"/>
      <c r="LFO5" s="94"/>
      <c r="LFP5" s="94"/>
      <c r="LFQ5" s="94"/>
      <c r="LFR5" s="94"/>
      <c r="LFS5" s="94"/>
      <c r="LFT5" s="94"/>
      <c r="LFU5" s="94"/>
      <c r="LFV5" s="94"/>
      <c r="LFW5" s="94"/>
      <c r="LFX5" s="94"/>
      <c r="LFY5" s="94"/>
      <c r="LFZ5" s="94"/>
      <c r="LGA5" s="94"/>
      <c r="LGB5" s="94"/>
      <c r="LGC5" s="94"/>
      <c r="LGD5" s="94"/>
      <c r="LGE5" s="94"/>
      <c r="LGF5" s="94"/>
      <c r="LGG5" s="94"/>
      <c r="LGH5" s="94"/>
      <c r="LGI5" s="94"/>
      <c r="LGJ5" s="94"/>
      <c r="LGK5" s="94"/>
      <c r="LGL5" s="94"/>
      <c r="LGM5" s="94"/>
      <c r="LGN5" s="94"/>
      <c r="LGO5" s="94"/>
      <c r="LGP5" s="94"/>
      <c r="LGQ5" s="94"/>
      <c r="LGR5" s="94"/>
      <c r="LGS5" s="94"/>
      <c r="LGT5" s="94"/>
      <c r="LGU5" s="94"/>
      <c r="LGV5" s="94"/>
      <c r="LGW5" s="94"/>
      <c r="LGX5" s="94"/>
      <c r="LGY5" s="94"/>
      <c r="LGZ5" s="94"/>
      <c r="LHA5" s="94"/>
      <c r="LHB5" s="94"/>
      <c r="LHC5" s="94"/>
      <c r="LHD5" s="94"/>
      <c r="LHE5" s="94"/>
      <c r="LHF5" s="94"/>
      <c r="LHG5" s="94"/>
      <c r="LHH5" s="94"/>
      <c r="LHI5" s="94"/>
      <c r="LHJ5" s="94"/>
      <c r="LHK5" s="94"/>
      <c r="LHL5" s="94"/>
      <c r="LHM5" s="94"/>
      <c r="LHN5" s="94"/>
      <c r="LHO5" s="94"/>
      <c r="LHP5" s="94"/>
      <c r="LHQ5" s="94"/>
      <c r="LHR5" s="94"/>
      <c r="LHS5" s="94"/>
      <c r="LHT5" s="94"/>
      <c r="LHU5" s="94"/>
      <c r="LHV5" s="94"/>
      <c r="LHW5" s="94"/>
      <c r="LHX5" s="94"/>
      <c r="LHY5" s="94"/>
      <c r="LHZ5" s="94"/>
      <c r="LIA5" s="94"/>
      <c r="LIB5" s="94"/>
      <c r="LIC5" s="94"/>
      <c r="LID5" s="94"/>
      <c r="LIE5" s="94"/>
      <c r="LIF5" s="94"/>
      <c r="LIG5" s="94"/>
      <c r="LIH5" s="94"/>
      <c r="LII5" s="94"/>
      <c r="LIJ5" s="94"/>
      <c r="LIK5" s="94"/>
      <c r="LIL5" s="94"/>
      <c r="LIM5" s="94"/>
      <c r="LIN5" s="94"/>
      <c r="LIO5" s="94"/>
      <c r="LIP5" s="94"/>
      <c r="LIQ5" s="94"/>
      <c r="LIR5" s="94"/>
      <c r="LIS5" s="94"/>
      <c r="LIT5" s="94"/>
      <c r="LIU5" s="94"/>
      <c r="LIV5" s="94"/>
      <c r="LIW5" s="94"/>
      <c r="LIX5" s="94"/>
      <c r="LIY5" s="94"/>
      <c r="LIZ5" s="94"/>
      <c r="LJA5" s="94"/>
      <c r="LJB5" s="94"/>
      <c r="LJC5" s="94"/>
      <c r="LJD5" s="94"/>
      <c r="LJE5" s="94"/>
      <c r="LJF5" s="94"/>
      <c r="LJG5" s="94"/>
      <c r="LJH5" s="94"/>
      <c r="LJI5" s="94"/>
      <c r="LJJ5" s="94"/>
      <c r="LJK5" s="94"/>
      <c r="LJL5" s="94"/>
      <c r="LJM5" s="94"/>
      <c r="LJN5" s="94"/>
      <c r="LJO5" s="94"/>
      <c r="LJP5" s="94"/>
      <c r="LJQ5" s="94"/>
      <c r="LJR5" s="94"/>
      <c r="LJS5" s="94"/>
      <c r="LJT5" s="94"/>
      <c r="LJU5" s="94"/>
      <c r="LJV5" s="94"/>
      <c r="LJW5" s="94"/>
      <c r="LJX5" s="94"/>
      <c r="LJY5" s="94"/>
      <c r="LJZ5" s="94"/>
      <c r="LKA5" s="94"/>
      <c r="LKB5" s="94"/>
      <c r="LKC5" s="94"/>
      <c r="LKD5" s="94"/>
      <c r="LKE5" s="94"/>
      <c r="LKF5" s="94"/>
      <c r="LKG5" s="94"/>
      <c r="LKH5" s="94"/>
      <c r="LKI5" s="94"/>
      <c r="LKJ5" s="94"/>
      <c r="LKK5" s="94"/>
      <c r="LKL5" s="94"/>
      <c r="LKM5" s="94"/>
      <c r="LKN5" s="94"/>
      <c r="LKO5" s="94"/>
      <c r="LKP5" s="94"/>
      <c r="LKQ5" s="94"/>
      <c r="LKR5" s="94"/>
      <c r="LKS5" s="94"/>
      <c r="LKT5" s="94"/>
      <c r="LKU5" s="94"/>
      <c r="LKV5" s="94"/>
      <c r="LKW5" s="94"/>
      <c r="LKX5" s="94"/>
      <c r="LKY5" s="94"/>
      <c r="LKZ5" s="94"/>
      <c r="LLA5" s="94"/>
      <c r="LLB5" s="94"/>
      <c r="LLC5" s="94"/>
      <c r="LLD5" s="94"/>
      <c r="LLE5" s="94"/>
      <c r="LLF5" s="94"/>
      <c r="LLG5" s="94"/>
      <c r="LLH5" s="94"/>
      <c r="LLI5" s="94"/>
      <c r="LLJ5" s="94"/>
      <c r="LLK5" s="94"/>
      <c r="LLL5" s="94"/>
      <c r="LLM5" s="94"/>
      <c r="LLN5" s="94"/>
      <c r="LLO5" s="94"/>
      <c r="LLP5" s="94"/>
      <c r="LLQ5" s="94"/>
      <c r="LLR5" s="94"/>
      <c r="LLS5" s="94"/>
      <c r="LLT5" s="94"/>
      <c r="LLU5" s="94"/>
      <c r="LLV5" s="94"/>
      <c r="LLW5" s="94"/>
      <c r="LLX5" s="94"/>
      <c r="LLY5" s="94"/>
      <c r="LLZ5" s="94"/>
      <c r="LMA5" s="94"/>
      <c r="LMB5" s="94"/>
      <c r="LMC5" s="94"/>
      <c r="LMD5" s="94"/>
      <c r="LME5" s="94"/>
      <c r="LMF5" s="94"/>
      <c r="LMG5" s="94"/>
      <c r="LMH5" s="94"/>
      <c r="LMI5" s="94"/>
      <c r="LMJ5" s="94"/>
      <c r="LMK5" s="94"/>
      <c r="LML5" s="94"/>
      <c r="LMM5" s="94"/>
      <c r="LMN5" s="94"/>
      <c r="LMO5" s="94"/>
      <c r="LMP5" s="94"/>
      <c r="LMQ5" s="94"/>
      <c r="LMR5" s="94"/>
      <c r="LMS5" s="94"/>
      <c r="LMT5" s="94"/>
      <c r="LMU5" s="94"/>
      <c r="LMV5" s="94"/>
      <c r="LMW5" s="94"/>
      <c r="LMX5" s="94"/>
      <c r="LMY5" s="94"/>
      <c r="LMZ5" s="94"/>
      <c r="LNA5" s="94"/>
      <c r="LNB5" s="94"/>
      <c r="LNC5" s="94"/>
      <c r="LND5" s="94"/>
      <c r="LNE5" s="94"/>
      <c r="LNF5" s="94"/>
      <c r="LNG5" s="94"/>
      <c r="LNH5" s="94"/>
      <c r="LNI5" s="94"/>
      <c r="LNJ5" s="94"/>
      <c r="LNK5" s="94"/>
      <c r="LNL5" s="94"/>
      <c r="LNM5" s="94"/>
      <c r="LNN5" s="94"/>
      <c r="LNO5" s="94"/>
      <c r="LNP5" s="94"/>
      <c r="LNQ5" s="94"/>
      <c r="LNR5" s="94"/>
      <c r="LNS5" s="94"/>
      <c r="LNT5" s="94"/>
      <c r="LNU5" s="94"/>
      <c r="LNV5" s="94"/>
      <c r="LNW5" s="94"/>
      <c r="LNX5" s="94"/>
      <c r="LNY5" s="94"/>
      <c r="LNZ5" s="94"/>
      <c r="LOA5" s="94"/>
      <c r="LOB5" s="94"/>
      <c r="LOC5" s="94"/>
      <c r="LOD5" s="94"/>
      <c r="LOE5" s="94"/>
      <c r="LOF5" s="94"/>
      <c r="LOG5" s="94"/>
      <c r="LOH5" s="94"/>
      <c r="LOI5" s="94"/>
      <c r="LOJ5" s="94"/>
      <c r="LOK5" s="94"/>
      <c r="LOL5" s="94"/>
      <c r="LOM5" s="94"/>
      <c r="LON5" s="94"/>
      <c r="LOO5" s="94"/>
      <c r="LOP5" s="94"/>
      <c r="LOQ5" s="94"/>
      <c r="LOR5" s="94"/>
      <c r="LOS5" s="94"/>
      <c r="LOT5" s="94"/>
      <c r="LOU5" s="94"/>
      <c r="LOV5" s="94"/>
      <c r="LOW5" s="94"/>
      <c r="LOX5" s="94"/>
      <c r="LOY5" s="94"/>
      <c r="LOZ5" s="94"/>
      <c r="LPA5" s="94"/>
      <c r="LPB5" s="94"/>
      <c r="LPC5" s="94"/>
      <c r="LPD5" s="94"/>
      <c r="LPE5" s="94"/>
      <c r="LPF5" s="94"/>
      <c r="LPG5" s="94"/>
      <c r="LPH5" s="94"/>
      <c r="LPI5" s="94"/>
      <c r="LPJ5" s="94"/>
      <c r="LPK5" s="94"/>
      <c r="LPL5" s="94"/>
      <c r="LPM5" s="94"/>
      <c r="LPN5" s="94"/>
      <c r="LPO5" s="94"/>
      <c r="LPP5" s="94"/>
      <c r="LPQ5" s="94"/>
      <c r="LPR5" s="94"/>
      <c r="LPS5" s="94"/>
      <c r="LPT5" s="94"/>
      <c r="LPU5" s="94"/>
      <c r="LPV5" s="94"/>
      <c r="LPW5" s="94"/>
      <c r="LPX5" s="94"/>
      <c r="LPY5" s="94"/>
      <c r="LPZ5" s="94"/>
      <c r="LQA5" s="94"/>
      <c r="LQB5" s="94"/>
      <c r="LQC5" s="94"/>
      <c r="LQD5" s="94"/>
      <c r="LQE5" s="94"/>
      <c r="LQF5" s="94"/>
      <c r="LQG5" s="94"/>
      <c r="LQH5" s="94"/>
      <c r="LQI5" s="94"/>
      <c r="LQJ5" s="94"/>
      <c r="LQK5" s="94"/>
      <c r="LQL5" s="94"/>
      <c r="LQM5" s="94"/>
      <c r="LQN5" s="94"/>
      <c r="LQO5" s="94"/>
      <c r="LQP5" s="94"/>
      <c r="LQQ5" s="94"/>
      <c r="LQR5" s="94"/>
      <c r="LQS5" s="94"/>
      <c r="LQT5" s="94"/>
      <c r="LQU5" s="94"/>
      <c r="LQV5" s="94"/>
      <c r="LQW5" s="94"/>
      <c r="LQX5" s="94"/>
      <c r="LQY5" s="94"/>
      <c r="LQZ5" s="94"/>
      <c r="LRA5" s="94"/>
      <c r="LRB5" s="94"/>
      <c r="LRC5" s="94"/>
      <c r="LRD5" s="94"/>
      <c r="LRE5" s="94"/>
      <c r="LRF5" s="94"/>
      <c r="LRG5" s="94"/>
      <c r="LRH5" s="94"/>
      <c r="LRI5" s="94"/>
      <c r="LRJ5" s="94"/>
      <c r="LRK5" s="94"/>
      <c r="LRL5" s="94"/>
      <c r="LRM5" s="94"/>
      <c r="LRN5" s="94"/>
      <c r="LRO5" s="94"/>
      <c r="LRP5" s="94"/>
      <c r="LRQ5" s="94"/>
      <c r="LRR5" s="94"/>
      <c r="LRS5" s="94"/>
      <c r="LRT5" s="94"/>
      <c r="LRU5" s="94"/>
      <c r="LRV5" s="94"/>
      <c r="LRW5" s="94"/>
      <c r="LRX5" s="94"/>
      <c r="LRY5" s="94"/>
      <c r="LRZ5" s="94"/>
      <c r="LSA5" s="94"/>
      <c r="LSB5" s="94"/>
      <c r="LSC5" s="94"/>
      <c r="LSD5" s="94"/>
      <c r="LSE5" s="94"/>
      <c r="LSF5" s="94"/>
      <c r="LSG5" s="94"/>
      <c r="LSH5" s="94"/>
      <c r="LSI5" s="94"/>
      <c r="LSJ5" s="94"/>
      <c r="LSK5" s="94"/>
      <c r="LSL5" s="94"/>
      <c r="LSM5" s="94"/>
      <c r="LSN5" s="94"/>
      <c r="LSO5" s="94"/>
      <c r="LSP5" s="94"/>
      <c r="LSQ5" s="94"/>
      <c r="LSR5" s="94"/>
      <c r="LSS5" s="94"/>
      <c r="LST5" s="94"/>
      <c r="LSU5" s="94"/>
      <c r="LSV5" s="94"/>
      <c r="LSW5" s="94"/>
      <c r="LSX5" s="94"/>
      <c r="LSY5" s="94"/>
      <c r="LSZ5" s="94"/>
      <c r="LTA5" s="94"/>
      <c r="LTB5" s="94"/>
      <c r="LTC5" s="94"/>
      <c r="LTD5" s="94"/>
      <c r="LTE5" s="94"/>
      <c r="LTF5" s="94"/>
      <c r="LTG5" s="94"/>
      <c r="LTH5" s="94"/>
      <c r="LTI5" s="94"/>
      <c r="LTJ5" s="94"/>
      <c r="LTK5" s="94"/>
      <c r="LTL5" s="94"/>
      <c r="LTM5" s="94"/>
      <c r="LTN5" s="94"/>
      <c r="LTO5" s="94"/>
      <c r="LTP5" s="94"/>
      <c r="LTQ5" s="94"/>
      <c r="LTR5" s="94"/>
      <c r="LTS5" s="94"/>
      <c r="LTT5" s="94"/>
      <c r="LTU5" s="94"/>
      <c r="LTV5" s="94"/>
      <c r="LTW5" s="94"/>
      <c r="LTX5" s="94"/>
      <c r="LTY5" s="94"/>
      <c r="LTZ5" s="94"/>
      <c r="LUA5" s="94"/>
      <c r="LUB5" s="94"/>
      <c r="LUC5" s="94"/>
      <c r="LUD5" s="94"/>
      <c r="LUE5" s="94"/>
      <c r="LUF5" s="94"/>
      <c r="LUG5" s="94"/>
      <c r="LUH5" s="94"/>
      <c r="LUI5" s="94"/>
      <c r="LUJ5" s="94"/>
      <c r="LUK5" s="94"/>
      <c r="LUL5" s="94"/>
      <c r="LUM5" s="94"/>
      <c r="LUN5" s="94"/>
      <c r="LUO5" s="94"/>
      <c r="LUP5" s="94"/>
      <c r="LUQ5" s="94"/>
      <c r="LUR5" s="94"/>
      <c r="LUS5" s="94"/>
      <c r="LUT5" s="94"/>
      <c r="LUU5" s="94"/>
      <c r="LUV5" s="94"/>
      <c r="LUW5" s="94"/>
      <c r="LUX5" s="94"/>
      <c r="LUY5" s="94"/>
      <c r="LUZ5" s="94"/>
      <c r="LVA5" s="94"/>
      <c r="LVB5" s="94"/>
      <c r="LVC5" s="94"/>
      <c r="LVD5" s="94"/>
      <c r="LVE5" s="94"/>
      <c r="LVF5" s="94"/>
      <c r="LVG5" s="94"/>
      <c r="LVH5" s="94"/>
      <c r="LVI5" s="94"/>
      <c r="LVJ5" s="94"/>
      <c r="LVK5" s="94"/>
      <c r="LVL5" s="94"/>
      <c r="LVM5" s="94"/>
      <c r="LVN5" s="94"/>
      <c r="LVO5" s="94"/>
      <c r="LVP5" s="94"/>
      <c r="LVQ5" s="94"/>
      <c r="LVR5" s="94"/>
      <c r="LVS5" s="94"/>
      <c r="LVT5" s="94"/>
      <c r="LVU5" s="94"/>
      <c r="LVV5" s="94"/>
      <c r="LVW5" s="94"/>
      <c r="LVX5" s="94"/>
      <c r="LVY5" s="94"/>
      <c r="LVZ5" s="94"/>
      <c r="LWA5" s="94"/>
      <c r="LWB5" s="94"/>
      <c r="LWC5" s="94"/>
      <c r="LWD5" s="94"/>
      <c r="LWE5" s="94"/>
      <c r="LWF5" s="94"/>
      <c r="LWG5" s="94"/>
      <c r="LWH5" s="94"/>
      <c r="LWI5" s="94"/>
      <c r="LWJ5" s="94"/>
      <c r="LWK5" s="94"/>
      <c r="LWL5" s="94"/>
      <c r="LWM5" s="94"/>
      <c r="LWN5" s="94"/>
      <c r="LWO5" s="94"/>
      <c r="LWP5" s="94"/>
      <c r="LWQ5" s="94"/>
      <c r="LWR5" s="94"/>
      <c r="LWS5" s="94"/>
      <c r="LWT5" s="94"/>
      <c r="LWU5" s="94"/>
      <c r="LWV5" s="94"/>
      <c r="LWW5" s="94"/>
      <c r="LWX5" s="94"/>
      <c r="LWY5" s="94"/>
      <c r="LWZ5" s="94"/>
      <c r="LXA5" s="94"/>
      <c r="LXB5" s="94"/>
      <c r="LXC5" s="94"/>
      <c r="LXD5" s="94"/>
      <c r="LXE5" s="94"/>
      <c r="LXF5" s="94"/>
      <c r="LXG5" s="94"/>
      <c r="LXH5" s="94"/>
      <c r="LXI5" s="94"/>
      <c r="LXJ5" s="94"/>
      <c r="LXK5" s="94"/>
      <c r="LXL5" s="94"/>
      <c r="LXM5" s="94"/>
      <c r="LXN5" s="94"/>
      <c r="LXO5" s="94"/>
      <c r="LXP5" s="94"/>
      <c r="LXQ5" s="94"/>
      <c r="LXR5" s="94"/>
      <c r="LXS5" s="94"/>
      <c r="LXT5" s="94"/>
      <c r="LXU5" s="94"/>
      <c r="LXV5" s="94"/>
      <c r="LXW5" s="94"/>
      <c r="LXX5" s="94"/>
      <c r="LXY5" s="94"/>
      <c r="LXZ5" s="94"/>
      <c r="LYA5" s="94"/>
      <c r="LYB5" s="94"/>
      <c r="LYC5" s="94"/>
      <c r="LYD5" s="94"/>
      <c r="LYE5" s="94"/>
      <c r="LYF5" s="94"/>
      <c r="LYG5" s="94"/>
      <c r="LYH5" s="94"/>
      <c r="LYI5" s="94"/>
      <c r="LYJ5" s="94"/>
      <c r="LYK5" s="94"/>
      <c r="LYL5" s="94"/>
      <c r="LYM5" s="94"/>
      <c r="LYN5" s="94"/>
      <c r="LYO5" s="94"/>
      <c r="LYP5" s="94"/>
      <c r="LYQ5" s="94"/>
      <c r="LYR5" s="94"/>
      <c r="LYS5" s="94"/>
      <c r="LYT5" s="94"/>
      <c r="LYU5" s="94"/>
      <c r="LYV5" s="94"/>
      <c r="LYW5" s="94"/>
      <c r="LYX5" s="94"/>
      <c r="LYY5" s="94"/>
      <c r="LYZ5" s="94"/>
      <c r="LZA5" s="94"/>
      <c r="LZB5" s="94"/>
      <c r="LZC5" s="94"/>
      <c r="LZD5" s="94"/>
      <c r="LZE5" s="94"/>
      <c r="LZF5" s="94"/>
      <c r="LZG5" s="94"/>
      <c r="LZH5" s="94"/>
      <c r="LZI5" s="94"/>
      <c r="LZJ5" s="94"/>
      <c r="LZK5" s="94"/>
      <c r="LZL5" s="94"/>
      <c r="LZM5" s="94"/>
      <c r="LZN5" s="94"/>
      <c r="LZO5" s="94"/>
      <c r="LZP5" s="94"/>
      <c r="LZQ5" s="94"/>
      <c r="LZR5" s="94"/>
      <c r="LZS5" s="94"/>
      <c r="LZT5" s="94"/>
      <c r="LZU5" s="94"/>
      <c r="LZV5" s="94"/>
      <c r="LZW5" s="94"/>
      <c r="LZX5" s="94"/>
      <c r="LZY5" s="94"/>
      <c r="LZZ5" s="94"/>
      <c r="MAA5" s="94"/>
      <c r="MAB5" s="94"/>
      <c r="MAC5" s="94"/>
      <c r="MAD5" s="94"/>
      <c r="MAE5" s="94"/>
      <c r="MAF5" s="94"/>
      <c r="MAG5" s="94"/>
      <c r="MAH5" s="94"/>
      <c r="MAI5" s="94"/>
      <c r="MAJ5" s="94"/>
      <c r="MAK5" s="94"/>
      <c r="MAL5" s="94"/>
      <c r="MAM5" s="94"/>
      <c r="MAN5" s="94"/>
      <c r="MAO5" s="94"/>
      <c r="MAP5" s="94"/>
      <c r="MAQ5" s="94"/>
      <c r="MAR5" s="94"/>
      <c r="MAS5" s="94"/>
      <c r="MAT5" s="94"/>
      <c r="MAU5" s="94"/>
      <c r="MAV5" s="94"/>
      <c r="MAW5" s="94"/>
      <c r="MAX5" s="94"/>
      <c r="MAY5" s="94"/>
      <c r="MAZ5" s="94"/>
      <c r="MBA5" s="94"/>
      <c r="MBB5" s="94"/>
      <c r="MBC5" s="94"/>
      <c r="MBD5" s="94"/>
      <c r="MBE5" s="94"/>
      <c r="MBF5" s="94"/>
      <c r="MBG5" s="94"/>
      <c r="MBH5" s="94"/>
      <c r="MBI5" s="94"/>
      <c r="MBJ5" s="94"/>
      <c r="MBK5" s="94"/>
      <c r="MBL5" s="94"/>
      <c r="MBM5" s="94"/>
      <c r="MBN5" s="94"/>
      <c r="MBO5" s="94"/>
      <c r="MBP5" s="94"/>
      <c r="MBQ5" s="94"/>
      <c r="MBR5" s="94"/>
      <c r="MBS5" s="94"/>
      <c r="MBT5" s="94"/>
      <c r="MBU5" s="94"/>
      <c r="MBV5" s="94"/>
      <c r="MBW5" s="94"/>
      <c r="MBX5" s="94"/>
      <c r="MBY5" s="94"/>
      <c r="MBZ5" s="94"/>
      <c r="MCA5" s="94"/>
      <c r="MCB5" s="94"/>
      <c r="MCC5" s="94"/>
      <c r="MCD5" s="94"/>
      <c r="MCE5" s="94"/>
      <c r="MCF5" s="94"/>
      <c r="MCG5" s="94"/>
      <c r="MCH5" s="94"/>
      <c r="MCI5" s="94"/>
      <c r="MCJ5" s="94"/>
      <c r="MCK5" s="94"/>
      <c r="MCL5" s="94"/>
      <c r="MCM5" s="94"/>
      <c r="MCN5" s="94"/>
      <c r="MCO5" s="94"/>
      <c r="MCP5" s="94"/>
      <c r="MCQ5" s="94"/>
      <c r="MCR5" s="94"/>
      <c r="MCS5" s="94"/>
      <c r="MCT5" s="94"/>
      <c r="MCU5" s="94"/>
      <c r="MCV5" s="94"/>
      <c r="MCW5" s="94"/>
      <c r="MCX5" s="94"/>
      <c r="MCY5" s="94"/>
      <c r="MCZ5" s="94"/>
      <c r="MDA5" s="94"/>
      <c r="MDB5" s="94"/>
      <c r="MDC5" s="94"/>
      <c r="MDD5" s="94"/>
      <c r="MDE5" s="94"/>
      <c r="MDF5" s="94"/>
      <c r="MDG5" s="94"/>
      <c r="MDH5" s="94"/>
      <c r="MDI5" s="94"/>
      <c r="MDJ5" s="94"/>
      <c r="MDK5" s="94"/>
      <c r="MDL5" s="94"/>
      <c r="MDM5" s="94"/>
      <c r="MDN5" s="94"/>
      <c r="MDO5" s="94"/>
      <c r="MDP5" s="94"/>
      <c r="MDQ5" s="94"/>
      <c r="MDR5" s="94"/>
      <c r="MDS5" s="94"/>
      <c r="MDT5" s="94"/>
      <c r="MDU5" s="94"/>
      <c r="MDV5" s="94"/>
      <c r="MDW5" s="94"/>
      <c r="MDX5" s="94"/>
      <c r="MDY5" s="94"/>
      <c r="MDZ5" s="94"/>
      <c r="MEA5" s="94"/>
      <c r="MEB5" s="94"/>
      <c r="MEC5" s="94"/>
      <c r="MED5" s="94"/>
      <c r="MEE5" s="94"/>
      <c r="MEF5" s="94"/>
      <c r="MEG5" s="94"/>
      <c r="MEH5" s="94"/>
      <c r="MEI5" s="94"/>
      <c r="MEJ5" s="94"/>
      <c r="MEK5" s="94"/>
      <c r="MEL5" s="94"/>
      <c r="MEM5" s="94"/>
      <c r="MEN5" s="94"/>
      <c r="MEO5" s="94"/>
      <c r="MEP5" s="94"/>
      <c r="MEQ5" s="94"/>
      <c r="MER5" s="94"/>
      <c r="MES5" s="94"/>
      <c r="MET5" s="94"/>
      <c r="MEU5" s="94"/>
      <c r="MEV5" s="94"/>
      <c r="MEW5" s="94"/>
      <c r="MEX5" s="94"/>
      <c r="MEY5" s="94"/>
      <c r="MEZ5" s="94"/>
      <c r="MFA5" s="94"/>
      <c r="MFB5" s="94"/>
      <c r="MFC5" s="94"/>
      <c r="MFD5" s="94"/>
      <c r="MFE5" s="94"/>
      <c r="MFF5" s="94"/>
      <c r="MFG5" s="94"/>
      <c r="MFH5" s="94"/>
      <c r="MFI5" s="94"/>
      <c r="MFJ5" s="94"/>
      <c r="MFK5" s="94"/>
      <c r="MFL5" s="94"/>
      <c r="MFM5" s="94"/>
      <c r="MFN5" s="94"/>
      <c r="MFO5" s="94"/>
      <c r="MFP5" s="94"/>
      <c r="MFQ5" s="94"/>
      <c r="MFR5" s="94"/>
      <c r="MFS5" s="94"/>
      <c r="MFT5" s="94"/>
      <c r="MFU5" s="94"/>
      <c r="MFV5" s="94"/>
      <c r="MFW5" s="94"/>
      <c r="MFX5" s="94"/>
      <c r="MFY5" s="94"/>
      <c r="MFZ5" s="94"/>
      <c r="MGA5" s="94"/>
      <c r="MGB5" s="94"/>
      <c r="MGC5" s="94"/>
      <c r="MGD5" s="94"/>
      <c r="MGE5" s="94"/>
      <c r="MGF5" s="94"/>
      <c r="MGG5" s="94"/>
      <c r="MGH5" s="94"/>
      <c r="MGI5" s="94"/>
      <c r="MGJ5" s="94"/>
      <c r="MGK5" s="94"/>
      <c r="MGL5" s="94"/>
      <c r="MGM5" s="94"/>
      <c r="MGN5" s="94"/>
      <c r="MGO5" s="94"/>
      <c r="MGP5" s="94"/>
      <c r="MGQ5" s="94"/>
      <c r="MGR5" s="94"/>
      <c r="MGS5" s="94"/>
      <c r="MGT5" s="94"/>
      <c r="MGU5" s="94"/>
      <c r="MGV5" s="94"/>
      <c r="MGW5" s="94"/>
      <c r="MGX5" s="94"/>
      <c r="MGY5" s="94"/>
      <c r="MGZ5" s="94"/>
      <c r="MHA5" s="94"/>
      <c r="MHB5" s="94"/>
      <c r="MHC5" s="94"/>
      <c r="MHD5" s="94"/>
      <c r="MHE5" s="94"/>
      <c r="MHF5" s="94"/>
      <c r="MHG5" s="94"/>
      <c r="MHH5" s="94"/>
      <c r="MHI5" s="94"/>
      <c r="MHJ5" s="94"/>
      <c r="MHK5" s="94"/>
      <c r="MHL5" s="94"/>
      <c r="MHM5" s="94"/>
      <c r="MHN5" s="94"/>
      <c r="MHO5" s="94"/>
      <c r="MHP5" s="94"/>
      <c r="MHQ5" s="94"/>
      <c r="MHR5" s="94"/>
      <c r="MHS5" s="94"/>
      <c r="MHT5" s="94"/>
      <c r="MHU5" s="94"/>
      <c r="MHV5" s="94"/>
      <c r="MHW5" s="94"/>
      <c r="MHX5" s="94"/>
      <c r="MHY5" s="94"/>
      <c r="MHZ5" s="94"/>
      <c r="MIA5" s="94"/>
      <c r="MIB5" s="94"/>
      <c r="MIC5" s="94"/>
      <c r="MID5" s="94"/>
      <c r="MIE5" s="94"/>
      <c r="MIF5" s="94"/>
      <c r="MIG5" s="94"/>
      <c r="MIH5" s="94"/>
      <c r="MII5" s="94"/>
      <c r="MIJ5" s="94"/>
      <c r="MIK5" s="94"/>
      <c r="MIL5" s="94"/>
      <c r="MIM5" s="94"/>
      <c r="MIN5" s="94"/>
      <c r="MIO5" s="94"/>
      <c r="MIP5" s="94"/>
      <c r="MIQ5" s="94"/>
      <c r="MIR5" s="94"/>
      <c r="MIS5" s="94"/>
      <c r="MIT5" s="94"/>
      <c r="MIU5" s="94"/>
      <c r="MIV5" s="94"/>
      <c r="MIW5" s="94"/>
      <c r="MIX5" s="94"/>
      <c r="MIY5" s="94"/>
      <c r="MIZ5" s="94"/>
      <c r="MJA5" s="94"/>
      <c r="MJB5" s="94"/>
      <c r="MJC5" s="94"/>
      <c r="MJD5" s="94"/>
      <c r="MJE5" s="94"/>
      <c r="MJF5" s="94"/>
      <c r="MJG5" s="94"/>
      <c r="MJH5" s="94"/>
      <c r="MJI5" s="94"/>
      <c r="MJJ5" s="94"/>
      <c r="MJK5" s="94"/>
      <c r="MJL5" s="94"/>
      <c r="MJM5" s="94"/>
      <c r="MJN5" s="94"/>
      <c r="MJO5" s="94"/>
      <c r="MJP5" s="94"/>
      <c r="MJQ5" s="94"/>
      <c r="MJR5" s="94"/>
      <c r="MJS5" s="94"/>
      <c r="MJT5" s="94"/>
      <c r="MJU5" s="94"/>
      <c r="MJV5" s="94"/>
      <c r="MJW5" s="94"/>
      <c r="MJX5" s="94"/>
      <c r="MJY5" s="94"/>
      <c r="MJZ5" s="94"/>
      <c r="MKA5" s="94"/>
      <c r="MKB5" s="94"/>
      <c r="MKC5" s="94"/>
      <c r="MKD5" s="94"/>
      <c r="MKE5" s="94"/>
      <c r="MKF5" s="94"/>
      <c r="MKG5" s="94"/>
      <c r="MKH5" s="94"/>
      <c r="MKI5" s="94"/>
      <c r="MKJ5" s="94"/>
      <c r="MKK5" s="94"/>
      <c r="MKL5" s="94"/>
      <c r="MKM5" s="94"/>
      <c r="MKN5" s="94"/>
      <c r="MKO5" s="94"/>
      <c r="MKP5" s="94"/>
      <c r="MKQ5" s="94"/>
      <c r="MKR5" s="94"/>
      <c r="MKS5" s="94"/>
      <c r="MKT5" s="94"/>
      <c r="MKU5" s="94"/>
      <c r="MKV5" s="94"/>
      <c r="MKW5" s="94"/>
      <c r="MKX5" s="94"/>
      <c r="MKY5" s="94"/>
      <c r="MKZ5" s="94"/>
      <c r="MLA5" s="94"/>
      <c r="MLB5" s="94"/>
      <c r="MLC5" s="94"/>
      <c r="MLD5" s="94"/>
      <c r="MLE5" s="94"/>
      <c r="MLF5" s="94"/>
      <c r="MLG5" s="94"/>
      <c r="MLH5" s="94"/>
      <c r="MLI5" s="94"/>
      <c r="MLJ5" s="94"/>
      <c r="MLK5" s="94"/>
      <c r="MLL5" s="94"/>
      <c r="MLM5" s="94"/>
      <c r="MLN5" s="94"/>
      <c r="MLO5" s="94"/>
      <c r="MLP5" s="94"/>
      <c r="MLQ5" s="94"/>
      <c r="MLR5" s="94"/>
      <c r="MLS5" s="94"/>
      <c r="MLT5" s="94"/>
      <c r="MLU5" s="94"/>
      <c r="MLV5" s="94"/>
      <c r="MLW5" s="94"/>
      <c r="MLX5" s="94"/>
      <c r="MLY5" s="94"/>
      <c r="MLZ5" s="94"/>
      <c r="MMA5" s="94"/>
      <c r="MMB5" s="94"/>
      <c r="MMC5" s="94"/>
      <c r="MMD5" s="94"/>
      <c r="MME5" s="94"/>
      <c r="MMF5" s="94"/>
      <c r="MMG5" s="94"/>
      <c r="MMH5" s="94"/>
      <c r="MMI5" s="94"/>
      <c r="MMJ5" s="94"/>
      <c r="MMK5" s="94"/>
      <c r="MML5" s="94"/>
      <c r="MMM5" s="94"/>
      <c r="MMN5" s="94"/>
      <c r="MMO5" s="94"/>
      <c r="MMP5" s="94"/>
      <c r="MMQ5" s="94"/>
      <c r="MMR5" s="94"/>
      <c r="MMS5" s="94"/>
      <c r="MMT5" s="94"/>
      <c r="MMU5" s="94"/>
      <c r="MMV5" s="94"/>
      <c r="MMW5" s="94"/>
      <c r="MMX5" s="94"/>
      <c r="MMY5" s="94"/>
      <c r="MMZ5" s="94"/>
      <c r="MNA5" s="94"/>
      <c r="MNB5" s="94"/>
      <c r="MNC5" s="94"/>
      <c r="MND5" s="94"/>
      <c r="MNE5" s="94"/>
      <c r="MNF5" s="94"/>
      <c r="MNG5" s="94"/>
      <c r="MNH5" s="94"/>
      <c r="MNI5" s="94"/>
      <c r="MNJ5" s="94"/>
      <c r="MNK5" s="94"/>
      <c r="MNL5" s="94"/>
      <c r="MNM5" s="94"/>
      <c r="MNN5" s="94"/>
      <c r="MNO5" s="94"/>
      <c r="MNP5" s="94"/>
      <c r="MNQ5" s="94"/>
      <c r="MNR5" s="94"/>
      <c r="MNS5" s="94"/>
      <c r="MNT5" s="94"/>
      <c r="MNU5" s="94"/>
      <c r="MNV5" s="94"/>
      <c r="MNW5" s="94"/>
      <c r="MNX5" s="94"/>
      <c r="MNY5" s="94"/>
      <c r="MNZ5" s="94"/>
      <c r="MOA5" s="94"/>
      <c r="MOB5" s="94"/>
      <c r="MOC5" s="94"/>
      <c r="MOD5" s="94"/>
      <c r="MOE5" s="94"/>
      <c r="MOF5" s="94"/>
      <c r="MOG5" s="94"/>
      <c r="MOH5" s="94"/>
      <c r="MOI5" s="94"/>
      <c r="MOJ5" s="94"/>
      <c r="MOK5" s="94"/>
      <c r="MOL5" s="94"/>
      <c r="MOM5" s="94"/>
      <c r="MON5" s="94"/>
      <c r="MOO5" s="94"/>
      <c r="MOP5" s="94"/>
      <c r="MOQ5" s="94"/>
      <c r="MOR5" s="94"/>
      <c r="MOS5" s="94"/>
      <c r="MOT5" s="94"/>
      <c r="MOU5" s="94"/>
      <c r="MOV5" s="94"/>
      <c r="MOW5" s="94"/>
      <c r="MOX5" s="94"/>
      <c r="MOY5" s="94"/>
      <c r="MOZ5" s="94"/>
      <c r="MPA5" s="94"/>
      <c r="MPB5" s="94"/>
      <c r="MPC5" s="94"/>
      <c r="MPD5" s="94"/>
      <c r="MPE5" s="94"/>
      <c r="MPF5" s="94"/>
      <c r="MPG5" s="94"/>
      <c r="MPH5" s="94"/>
      <c r="MPI5" s="94"/>
      <c r="MPJ5" s="94"/>
      <c r="MPK5" s="94"/>
      <c r="MPL5" s="94"/>
      <c r="MPM5" s="94"/>
      <c r="MPN5" s="94"/>
      <c r="MPO5" s="94"/>
      <c r="MPP5" s="94"/>
      <c r="MPQ5" s="94"/>
      <c r="MPR5" s="94"/>
      <c r="MPS5" s="94"/>
      <c r="MPT5" s="94"/>
      <c r="MPU5" s="94"/>
      <c r="MPV5" s="94"/>
      <c r="MPW5" s="94"/>
      <c r="MPX5" s="94"/>
      <c r="MPY5" s="94"/>
      <c r="MPZ5" s="94"/>
      <c r="MQA5" s="94"/>
      <c r="MQB5" s="94"/>
      <c r="MQC5" s="94"/>
      <c r="MQD5" s="94"/>
      <c r="MQE5" s="94"/>
      <c r="MQF5" s="94"/>
      <c r="MQG5" s="94"/>
      <c r="MQH5" s="94"/>
      <c r="MQI5" s="94"/>
      <c r="MQJ5" s="94"/>
      <c r="MQK5" s="94"/>
      <c r="MQL5" s="94"/>
      <c r="MQM5" s="94"/>
      <c r="MQN5" s="94"/>
      <c r="MQO5" s="94"/>
      <c r="MQP5" s="94"/>
      <c r="MQQ5" s="94"/>
      <c r="MQR5" s="94"/>
      <c r="MQS5" s="94"/>
      <c r="MQT5" s="94"/>
      <c r="MQU5" s="94"/>
      <c r="MQV5" s="94"/>
      <c r="MQW5" s="94"/>
      <c r="MQX5" s="94"/>
      <c r="MQY5" s="94"/>
      <c r="MQZ5" s="94"/>
      <c r="MRA5" s="94"/>
      <c r="MRB5" s="94"/>
      <c r="MRC5" s="94"/>
      <c r="MRD5" s="94"/>
      <c r="MRE5" s="94"/>
      <c r="MRF5" s="94"/>
      <c r="MRG5" s="94"/>
      <c r="MRH5" s="94"/>
      <c r="MRI5" s="94"/>
      <c r="MRJ5" s="94"/>
      <c r="MRK5" s="94"/>
      <c r="MRL5" s="94"/>
      <c r="MRM5" s="94"/>
      <c r="MRN5" s="94"/>
      <c r="MRO5" s="94"/>
      <c r="MRP5" s="94"/>
      <c r="MRQ5" s="94"/>
      <c r="MRR5" s="94"/>
      <c r="MRS5" s="94"/>
      <c r="MRT5" s="94"/>
      <c r="MRU5" s="94"/>
      <c r="MRV5" s="94"/>
      <c r="MRW5" s="94"/>
      <c r="MRX5" s="94"/>
      <c r="MRY5" s="94"/>
      <c r="MRZ5" s="94"/>
      <c r="MSA5" s="94"/>
      <c r="MSB5" s="94"/>
      <c r="MSC5" s="94"/>
      <c r="MSD5" s="94"/>
      <c r="MSE5" s="94"/>
      <c r="MSF5" s="94"/>
      <c r="MSG5" s="94"/>
      <c r="MSH5" s="94"/>
      <c r="MSI5" s="94"/>
      <c r="MSJ5" s="94"/>
      <c r="MSK5" s="94"/>
      <c r="MSL5" s="94"/>
      <c r="MSM5" s="94"/>
      <c r="MSN5" s="94"/>
      <c r="MSO5" s="94"/>
      <c r="MSP5" s="94"/>
      <c r="MSQ5" s="94"/>
      <c r="MSR5" s="94"/>
      <c r="MSS5" s="94"/>
      <c r="MST5" s="94"/>
      <c r="MSU5" s="94"/>
      <c r="MSV5" s="94"/>
      <c r="MSW5" s="94"/>
      <c r="MSX5" s="94"/>
      <c r="MSY5" s="94"/>
      <c r="MSZ5" s="94"/>
      <c r="MTA5" s="94"/>
      <c r="MTB5" s="94"/>
      <c r="MTC5" s="94"/>
      <c r="MTD5" s="94"/>
      <c r="MTE5" s="94"/>
      <c r="MTF5" s="94"/>
      <c r="MTG5" s="94"/>
      <c r="MTH5" s="94"/>
      <c r="MTI5" s="94"/>
      <c r="MTJ5" s="94"/>
      <c r="MTK5" s="94"/>
      <c r="MTL5" s="94"/>
      <c r="MTM5" s="94"/>
      <c r="MTN5" s="94"/>
      <c r="MTO5" s="94"/>
      <c r="MTP5" s="94"/>
      <c r="MTQ5" s="94"/>
      <c r="MTR5" s="94"/>
      <c r="MTS5" s="94"/>
      <c r="MTT5" s="94"/>
      <c r="MTU5" s="94"/>
      <c r="MTV5" s="94"/>
      <c r="MTW5" s="94"/>
      <c r="MTX5" s="94"/>
      <c r="MTY5" s="94"/>
      <c r="MTZ5" s="94"/>
      <c r="MUA5" s="94"/>
      <c r="MUB5" s="94"/>
      <c r="MUC5" s="94"/>
      <c r="MUD5" s="94"/>
      <c r="MUE5" s="94"/>
      <c r="MUF5" s="94"/>
      <c r="MUG5" s="94"/>
      <c r="MUH5" s="94"/>
      <c r="MUI5" s="94"/>
      <c r="MUJ5" s="94"/>
      <c r="MUK5" s="94"/>
      <c r="MUL5" s="94"/>
      <c r="MUM5" s="94"/>
      <c r="MUN5" s="94"/>
      <c r="MUO5" s="94"/>
      <c r="MUP5" s="94"/>
      <c r="MUQ5" s="94"/>
      <c r="MUR5" s="94"/>
      <c r="MUS5" s="94"/>
      <c r="MUT5" s="94"/>
      <c r="MUU5" s="94"/>
      <c r="MUV5" s="94"/>
      <c r="MUW5" s="94"/>
      <c r="MUX5" s="94"/>
      <c r="MUY5" s="94"/>
      <c r="MUZ5" s="94"/>
      <c r="MVA5" s="94"/>
      <c r="MVB5" s="94"/>
      <c r="MVC5" s="94"/>
      <c r="MVD5" s="94"/>
      <c r="MVE5" s="94"/>
      <c r="MVF5" s="94"/>
      <c r="MVG5" s="94"/>
      <c r="MVH5" s="94"/>
      <c r="MVI5" s="94"/>
      <c r="MVJ5" s="94"/>
      <c r="MVK5" s="94"/>
      <c r="MVL5" s="94"/>
      <c r="MVM5" s="94"/>
      <c r="MVN5" s="94"/>
      <c r="MVO5" s="94"/>
      <c r="MVP5" s="94"/>
      <c r="MVQ5" s="94"/>
      <c r="MVR5" s="94"/>
      <c r="MVS5" s="94"/>
      <c r="MVT5" s="94"/>
      <c r="MVU5" s="94"/>
      <c r="MVV5" s="94"/>
      <c r="MVW5" s="94"/>
      <c r="MVX5" s="94"/>
      <c r="MVY5" s="94"/>
      <c r="MVZ5" s="94"/>
      <c r="MWA5" s="94"/>
      <c r="MWB5" s="94"/>
      <c r="MWC5" s="94"/>
      <c r="MWD5" s="94"/>
      <c r="MWE5" s="94"/>
      <c r="MWF5" s="94"/>
      <c r="MWG5" s="94"/>
      <c r="MWH5" s="94"/>
      <c r="MWI5" s="94"/>
      <c r="MWJ5" s="94"/>
      <c r="MWK5" s="94"/>
      <c r="MWL5" s="94"/>
      <c r="MWM5" s="94"/>
      <c r="MWN5" s="94"/>
      <c r="MWO5" s="94"/>
      <c r="MWP5" s="94"/>
      <c r="MWQ5" s="94"/>
      <c r="MWR5" s="94"/>
      <c r="MWS5" s="94"/>
      <c r="MWT5" s="94"/>
      <c r="MWU5" s="94"/>
      <c r="MWV5" s="94"/>
      <c r="MWW5" s="94"/>
      <c r="MWX5" s="94"/>
      <c r="MWY5" s="94"/>
      <c r="MWZ5" s="94"/>
      <c r="MXA5" s="94"/>
      <c r="MXB5" s="94"/>
      <c r="MXC5" s="94"/>
      <c r="MXD5" s="94"/>
      <c r="MXE5" s="94"/>
      <c r="MXF5" s="94"/>
      <c r="MXG5" s="94"/>
      <c r="MXH5" s="94"/>
      <c r="MXI5" s="94"/>
      <c r="MXJ5" s="94"/>
      <c r="MXK5" s="94"/>
      <c r="MXL5" s="94"/>
      <c r="MXM5" s="94"/>
      <c r="MXN5" s="94"/>
      <c r="MXO5" s="94"/>
      <c r="MXP5" s="94"/>
      <c r="MXQ5" s="94"/>
      <c r="MXR5" s="94"/>
      <c r="MXS5" s="94"/>
      <c r="MXT5" s="94"/>
      <c r="MXU5" s="94"/>
      <c r="MXV5" s="94"/>
      <c r="MXW5" s="94"/>
      <c r="MXX5" s="94"/>
      <c r="MXY5" s="94"/>
      <c r="MXZ5" s="94"/>
      <c r="MYA5" s="94"/>
      <c r="MYB5" s="94"/>
      <c r="MYC5" s="94"/>
      <c r="MYD5" s="94"/>
      <c r="MYE5" s="94"/>
      <c r="MYF5" s="94"/>
      <c r="MYG5" s="94"/>
      <c r="MYH5" s="94"/>
      <c r="MYI5" s="94"/>
      <c r="MYJ5" s="94"/>
      <c r="MYK5" s="94"/>
      <c r="MYL5" s="94"/>
      <c r="MYM5" s="94"/>
      <c r="MYN5" s="94"/>
      <c r="MYO5" s="94"/>
      <c r="MYP5" s="94"/>
      <c r="MYQ5" s="94"/>
      <c r="MYR5" s="94"/>
      <c r="MYS5" s="94"/>
      <c r="MYT5" s="94"/>
      <c r="MYU5" s="94"/>
      <c r="MYV5" s="94"/>
      <c r="MYW5" s="94"/>
      <c r="MYX5" s="94"/>
      <c r="MYY5" s="94"/>
      <c r="MYZ5" s="94"/>
      <c r="MZA5" s="94"/>
      <c r="MZB5" s="94"/>
      <c r="MZC5" s="94"/>
      <c r="MZD5" s="94"/>
      <c r="MZE5" s="94"/>
      <c r="MZF5" s="94"/>
      <c r="MZG5" s="94"/>
      <c r="MZH5" s="94"/>
      <c r="MZI5" s="94"/>
      <c r="MZJ5" s="94"/>
      <c r="MZK5" s="94"/>
      <c r="MZL5" s="94"/>
      <c r="MZM5" s="94"/>
      <c r="MZN5" s="94"/>
      <c r="MZO5" s="94"/>
      <c r="MZP5" s="94"/>
      <c r="MZQ5" s="94"/>
      <c r="MZR5" s="94"/>
      <c r="MZS5" s="94"/>
      <c r="MZT5" s="94"/>
      <c r="MZU5" s="94"/>
      <c r="MZV5" s="94"/>
      <c r="MZW5" s="94"/>
      <c r="MZX5" s="94"/>
      <c r="MZY5" s="94"/>
      <c r="MZZ5" s="94"/>
      <c r="NAA5" s="94"/>
      <c r="NAB5" s="94"/>
      <c r="NAC5" s="94"/>
      <c r="NAD5" s="94"/>
      <c r="NAE5" s="94"/>
      <c r="NAF5" s="94"/>
      <c r="NAG5" s="94"/>
      <c r="NAH5" s="94"/>
      <c r="NAI5" s="94"/>
      <c r="NAJ5" s="94"/>
      <c r="NAK5" s="94"/>
      <c r="NAL5" s="94"/>
      <c r="NAM5" s="94"/>
      <c r="NAN5" s="94"/>
      <c r="NAO5" s="94"/>
      <c r="NAP5" s="94"/>
      <c r="NAQ5" s="94"/>
      <c r="NAR5" s="94"/>
      <c r="NAS5" s="94"/>
      <c r="NAT5" s="94"/>
      <c r="NAU5" s="94"/>
      <c r="NAV5" s="94"/>
      <c r="NAW5" s="94"/>
      <c r="NAX5" s="94"/>
      <c r="NAY5" s="94"/>
      <c r="NAZ5" s="94"/>
      <c r="NBA5" s="94"/>
      <c r="NBB5" s="94"/>
      <c r="NBC5" s="94"/>
      <c r="NBD5" s="94"/>
      <c r="NBE5" s="94"/>
      <c r="NBF5" s="94"/>
      <c r="NBG5" s="94"/>
      <c r="NBH5" s="94"/>
      <c r="NBI5" s="94"/>
      <c r="NBJ5" s="94"/>
      <c r="NBK5" s="94"/>
      <c r="NBL5" s="94"/>
      <c r="NBM5" s="94"/>
      <c r="NBN5" s="94"/>
      <c r="NBO5" s="94"/>
      <c r="NBP5" s="94"/>
      <c r="NBQ5" s="94"/>
      <c r="NBR5" s="94"/>
      <c r="NBS5" s="94"/>
      <c r="NBT5" s="94"/>
      <c r="NBU5" s="94"/>
      <c r="NBV5" s="94"/>
      <c r="NBW5" s="94"/>
      <c r="NBX5" s="94"/>
      <c r="NBY5" s="94"/>
      <c r="NBZ5" s="94"/>
      <c r="NCA5" s="94"/>
      <c r="NCB5" s="94"/>
      <c r="NCC5" s="94"/>
      <c r="NCD5" s="94"/>
      <c r="NCE5" s="94"/>
      <c r="NCF5" s="94"/>
      <c r="NCG5" s="94"/>
      <c r="NCH5" s="94"/>
      <c r="NCI5" s="94"/>
      <c r="NCJ5" s="94"/>
      <c r="NCK5" s="94"/>
      <c r="NCL5" s="94"/>
      <c r="NCM5" s="94"/>
      <c r="NCN5" s="94"/>
      <c r="NCO5" s="94"/>
      <c r="NCP5" s="94"/>
      <c r="NCQ5" s="94"/>
      <c r="NCR5" s="94"/>
      <c r="NCS5" s="94"/>
      <c r="NCT5" s="94"/>
      <c r="NCU5" s="94"/>
      <c r="NCV5" s="94"/>
      <c r="NCW5" s="94"/>
      <c r="NCX5" s="94"/>
      <c r="NCY5" s="94"/>
      <c r="NCZ5" s="94"/>
      <c r="NDA5" s="94"/>
      <c r="NDB5" s="94"/>
      <c r="NDC5" s="94"/>
      <c r="NDD5" s="94"/>
      <c r="NDE5" s="94"/>
      <c r="NDF5" s="94"/>
      <c r="NDG5" s="94"/>
      <c r="NDH5" s="94"/>
      <c r="NDI5" s="94"/>
      <c r="NDJ5" s="94"/>
      <c r="NDK5" s="94"/>
      <c r="NDL5" s="94"/>
      <c r="NDM5" s="94"/>
      <c r="NDN5" s="94"/>
      <c r="NDO5" s="94"/>
      <c r="NDP5" s="94"/>
      <c r="NDQ5" s="94"/>
      <c r="NDR5" s="94"/>
      <c r="NDS5" s="94"/>
      <c r="NDT5" s="94"/>
      <c r="NDU5" s="94"/>
      <c r="NDV5" s="94"/>
      <c r="NDW5" s="94"/>
      <c r="NDX5" s="94"/>
      <c r="NDY5" s="94"/>
      <c r="NDZ5" s="94"/>
      <c r="NEA5" s="94"/>
      <c r="NEB5" s="94"/>
      <c r="NEC5" s="94"/>
      <c r="NED5" s="94"/>
      <c r="NEE5" s="94"/>
      <c r="NEF5" s="94"/>
      <c r="NEG5" s="94"/>
      <c r="NEH5" s="94"/>
      <c r="NEI5" s="94"/>
      <c r="NEJ5" s="94"/>
      <c r="NEK5" s="94"/>
      <c r="NEL5" s="94"/>
      <c r="NEM5" s="94"/>
      <c r="NEN5" s="94"/>
      <c r="NEO5" s="94"/>
      <c r="NEP5" s="94"/>
      <c r="NEQ5" s="94"/>
      <c r="NER5" s="94"/>
      <c r="NES5" s="94"/>
      <c r="NET5" s="94"/>
      <c r="NEU5" s="94"/>
      <c r="NEV5" s="94"/>
      <c r="NEW5" s="94"/>
      <c r="NEX5" s="94"/>
      <c r="NEY5" s="94"/>
      <c r="NEZ5" s="94"/>
      <c r="NFA5" s="94"/>
      <c r="NFB5" s="94"/>
      <c r="NFC5" s="94"/>
      <c r="NFD5" s="94"/>
      <c r="NFE5" s="94"/>
      <c r="NFF5" s="94"/>
      <c r="NFG5" s="94"/>
      <c r="NFH5" s="94"/>
      <c r="NFI5" s="94"/>
      <c r="NFJ5" s="94"/>
      <c r="NFK5" s="94"/>
      <c r="NFL5" s="94"/>
      <c r="NFM5" s="94"/>
      <c r="NFN5" s="94"/>
      <c r="NFO5" s="94"/>
      <c r="NFP5" s="94"/>
      <c r="NFQ5" s="94"/>
      <c r="NFR5" s="94"/>
      <c r="NFS5" s="94"/>
      <c r="NFT5" s="94"/>
      <c r="NFU5" s="94"/>
      <c r="NFV5" s="94"/>
      <c r="NFW5" s="94"/>
      <c r="NFX5" s="94"/>
      <c r="NFY5" s="94"/>
      <c r="NFZ5" s="94"/>
      <c r="NGA5" s="94"/>
      <c r="NGB5" s="94"/>
      <c r="NGC5" s="94"/>
      <c r="NGD5" s="94"/>
      <c r="NGE5" s="94"/>
      <c r="NGF5" s="94"/>
      <c r="NGG5" s="94"/>
      <c r="NGH5" s="94"/>
      <c r="NGI5" s="94"/>
      <c r="NGJ5" s="94"/>
      <c r="NGK5" s="94"/>
      <c r="NGL5" s="94"/>
      <c r="NGM5" s="94"/>
      <c r="NGN5" s="94"/>
      <c r="NGO5" s="94"/>
      <c r="NGP5" s="94"/>
      <c r="NGQ5" s="94"/>
      <c r="NGR5" s="94"/>
      <c r="NGS5" s="94"/>
      <c r="NGT5" s="94"/>
      <c r="NGU5" s="94"/>
      <c r="NGV5" s="94"/>
      <c r="NGW5" s="94"/>
      <c r="NGX5" s="94"/>
      <c r="NGY5" s="94"/>
      <c r="NGZ5" s="94"/>
      <c r="NHA5" s="94"/>
      <c r="NHB5" s="94"/>
      <c r="NHC5" s="94"/>
      <c r="NHD5" s="94"/>
      <c r="NHE5" s="94"/>
      <c r="NHF5" s="94"/>
      <c r="NHG5" s="94"/>
      <c r="NHH5" s="94"/>
      <c r="NHI5" s="94"/>
      <c r="NHJ5" s="94"/>
      <c r="NHK5" s="94"/>
      <c r="NHL5" s="94"/>
      <c r="NHM5" s="94"/>
      <c r="NHN5" s="94"/>
      <c r="NHO5" s="94"/>
      <c r="NHP5" s="94"/>
      <c r="NHQ5" s="94"/>
      <c r="NHR5" s="94"/>
      <c r="NHS5" s="94"/>
      <c r="NHT5" s="94"/>
      <c r="NHU5" s="94"/>
      <c r="NHV5" s="94"/>
      <c r="NHW5" s="94"/>
      <c r="NHX5" s="94"/>
      <c r="NHY5" s="94"/>
      <c r="NHZ5" s="94"/>
      <c r="NIA5" s="94"/>
      <c r="NIB5" s="94"/>
      <c r="NIC5" s="94"/>
      <c r="NID5" s="94"/>
      <c r="NIE5" s="94"/>
      <c r="NIF5" s="94"/>
      <c r="NIG5" s="94"/>
      <c r="NIH5" s="94"/>
      <c r="NII5" s="94"/>
      <c r="NIJ5" s="94"/>
      <c r="NIK5" s="94"/>
      <c r="NIL5" s="94"/>
      <c r="NIM5" s="94"/>
      <c r="NIN5" s="94"/>
      <c r="NIO5" s="94"/>
      <c r="NIP5" s="94"/>
      <c r="NIQ5" s="94"/>
      <c r="NIR5" s="94"/>
      <c r="NIS5" s="94"/>
      <c r="NIT5" s="94"/>
      <c r="NIU5" s="94"/>
      <c r="NIV5" s="94"/>
      <c r="NIW5" s="94"/>
      <c r="NIX5" s="94"/>
      <c r="NIY5" s="94"/>
      <c r="NIZ5" s="94"/>
      <c r="NJA5" s="94"/>
      <c r="NJB5" s="94"/>
      <c r="NJC5" s="94"/>
      <c r="NJD5" s="94"/>
      <c r="NJE5" s="94"/>
      <c r="NJF5" s="94"/>
      <c r="NJG5" s="94"/>
      <c r="NJH5" s="94"/>
      <c r="NJI5" s="94"/>
      <c r="NJJ5" s="94"/>
      <c r="NJK5" s="94"/>
      <c r="NJL5" s="94"/>
      <c r="NJM5" s="94"/>
      <c r="NJN5" s="94"/>
      <c r="NJO5" s="94"/>
      <c r="NJP5" s="94"/>
      <c r="NJQ5" s="94"/>
      <c r="NJR5" s="94"/>
      <c r="NJS5" s="94"/>
      <c r="NJT5" s="94"/>
      <c r="NJU5" s="94"/>
      <c r="NJV5" s="94"/>
      <c r="NJW5" s="94"/>
      <c r="NJX5" s="94"/>
      <c r="NJY5" s="94"/>
      <c r="NJZ5" s="94"/>
      <c r="NKA5" s="94"/>
      <c r="NKB5" s="94"/>
      <c r="NKC5" s="94"/>
      <c r="NKD5" s="94"/>
      <c r="NKE5" s="94"/>
      <c r="NKF5" s="94"/>
      <c r="NKG5" s="94"/>
      <c r="NKH5" s="94"/>
      <c r="NKI5" s="94"/>
      <c r="NKJ5" s="94"/>
      <c r="NKK5" s="94"/>
      <c r="NKL5" s="94"/>
      <c r="NKM5" s="94"/>
      <c r="NKN5" s="94"/>
      <c r="NKO5" s="94"/>
      <c r="NKP5" s="94"/>
      <c r="NKQ5" s="94"/>
      <c r="NKR5" s="94"/>
      <c r="NKS5" s="94"/>
      <c r="NKT5" s="94"/>
      <c r="NKU5" s="94"/>
      <c r="NKV5" s="94"/>
      <c r="NKW5" s="94"/>
      <c r="NKX5" s="94"/>
      <c r="NKY5" s="94"/>
      <c r="NKZ5" s="94"/>
      <c r="NLA5" s="94"/>
      <c r="NLB5" s="94"/>
      <c r="NLC5" s="94"/>
      <c r="NLD5" s="94"/>
      <c r="NLE5" s="94"/>
      <c r="NLF5" s="94"/>
      <c r="NLG5" s="94"/>
      <c r="NLH5" s="94"/>
      <c r="NLI5" s="94"/>
      <c r="NLJ5" s="94"/>
      <c r="NLK5" s="94"/>
      <c r="NLL5" s="94"/>
      <c r="NLM5" s="94"/>
      <c r="NLN5" s="94"/>
      <c r="NLO5" s="94"/>
      <c r="NLP5" s="94"/>
      <c r="NLQ5" s="94"/>
      <c r="NLR5" s="94"/>
      <c r="NLS5" s="94"/>
      <c r="NLT5" s="94"/>
      <c r="NLU5" s="94"/>
      <c r="NLV5" s="94"/>
      <c r="NLW5" s="94"/>
      <c r="NLX5" s="94"/>
      <c r="NLY5" s="94"/>
      <c r="NLZ5" s="94"/>
      <c r="NMA5" s="94"/>
      <c r="NMB5" s="94"/>
      <c r="NMC5" s="94"/>
      <c r="NMD5" s="94"/>
      <c r="NME5" s="94"/>
      <c r="NMF5" s="94"/>
      <c r="NMG5" s="94"/>
      <c r="NMH5" s="94"/>
      <c r="NMI5" s="94"/>
      <c r="NMJ5" s="94"/>
      <c r="NMK5" s="94"/>
      <c r="NML5" s="94"/>
      <c r="NMM5" s="94"/>
      <c r="NMN5" s="94"/>
      <c r="NMO5" s="94"/>
      <c r="NMP5" s="94"/>
      <c r="NMQ5" s="94"/>
      <c r="NMR5" s="94"/>
      <c r="NMS5" s="94"/>
      <c r="NMT5" s="94"/>
      <c r="NMU5" s="94"/>
      <c r="NMV5" s="94"/>
      <c r="NMW5" s="94"/>
      <c r="NMX5" s="94"/>
      <c r="NMY5" s="94"/>
      <c r="NMZ5" s="94"/>
      <c r="NNA5" s="94"/>
      <c r="NNB5" s="94"/>
      <c r="NNC5" s="94"/>
      <c r="NND5" s="94"/>
      <c r="NNE5" s="94"/>
      <c r="NNF5" s="94"/>
      <c r="NNG5" s="94"/>
      <c r="NNH5" s="94"/>
      <c r="NNI5" s="94"/>
      <c r="NNJ5" s="94"/>
      <c r="NNK5" s="94"/>
      <c r="NNL5" s="94"/>
      <c r="NNM5" s="94"/>
      <c r="NNN5" s="94"/>
      <c r="NNO5" s="94"/>
      <c r="NNP5" s="94"/>
      <c r="NNQ5" s="94"/>
      <c r="NNR5" s="94"/>
      <c r="NNS5" s="94"/>
      <c r="NNT5" s="94"/>
      <c r="NNU5" s="94"/>
      <c r="NNV5" s="94"/>
      <c r="NNW5" s="94"/>
      <c r="NNX5" s="94"/>
      <c r="NNY5" s="94"/>
      <c r="NNZ5" s="94"/>
      <c r="NOA5" s="94"/>
      <c r="NOB5" s="94"/>
      <c r="NOC5" s="94"/>
      <c r="NOD5" s="94"/>
      <c r="NOE5" s="94"/>
      <c r="NOF5" s="94"/>
      <c r="NOG5" s="94"/>
      <c r="NOH5" s="94"/>
      <c r="NOI5" s="94"/>
      <c r="NOJ5" s="94"/>
      <c r="NOK5" s="94"/>
      <c r="NOL5" s="94"/>
      <c r="NOM5" s="94"/>
      <c r="NON5" s="94"/>
      <c r="NOO5" s="94"/>
      <c r="NOP5" s="94"/>
      <c r="NOQ5" s="94"/>
      <c r="NOR5" s="94"/>
      <c r="NOS5" s="94"/>
      <c r="NOT5" s="94"/>
      <c r="NOU5" s="94"/>
      <c r="NOV5" s="94"/>
      <c r="NOW5" s="94"/>
      <c r="NOX5" s="94"/>
      <c r="NOY5" s="94"/>
      <c r="NOZ5" s="94"/>
      <c r="NPA5" s="94"/>
      <c r="NPB5" s="94"/>
      <c r="NPC5" s="94"/>
      <c r="NPD5" s="94"/>
      <c r="NPE5" s="94"/>
      <c r="NPF5" s="94"/>
      <c r="NPG5" s="94"/>
      <c r="NPH5" s="94"/>
      <c r="NPI5" s="94"/>
      <c r="NPJ5" s="94"/>
      <c r="NPK5" s="94"/>
      <c r="NPL5" s="94"/>
      <c r="NPM5" s="94"/>
      <c r="NPN5" s="94"/>
      <c r="NPO5" s="94"/>
      <c r="NPP5" s="94"/>
      <c r="NPQ5" s="94"/>
      <c r="NPR5" s="94"/>
      <c r="NPS5" s="94"/>
      <c r="NPT5" s="94"/>
      <c r="NPU5" s="94"/>
      <c r="NPV5" s="94"/>
      <c r="NPW5" s="94"/>
      <c r="NPX5" s="94"/>
      <c r="NPY5" s="94"/>
      <c r="NPZ5" s="94"/>
      <c r="NQA5" s="94"/>
      <c r="NQB5" s="94"/>
      <c r="NQC5" s="94"/>
      <c r="NQD5" s="94"/>
      <c r="NQE5" s="94"/>
      <c r="NQF5" s="94"/>
      <c r="NQG5" s="94"/>
      <c r="NQH5" s="94"/>
      <c r="NQI5" s="94"/>
      <c r="NQJ5" s="94"/>
      <c r="NQK5" s="94"/>
      <c r="NQL5" s="94"/>
      <c r="NQM5" s="94"/>
      <c r="NQN5" s="94"/>
      <c r="NQO5" s="94"/>
      <c r="NQP5" s="94"/>
      <c r="NQQ5" s="94"/>
      <c r="NQR5" s="94"/>
      <c r="NQS5" s="94"/>
      <c r="NQT5" s="94"/>
      <c r="NQU5" s="94"/>
      <c r="NQV5" s="94"/>
      <c r="NQW5" s="94"/>
      <c r="NQX5" s="94"/>
      <c r="NQY5" s="94"/>
      <c r="NQZ5" s="94"/>
      <c r="NRA5" s="94"/>
      <c r="NRB5" s="94"/>
      <c r="NRC5" s="94"/>
      <c r="NRD5" s="94"/>
      <c r="NRE5" s="94"/>
      <c r="NRF5" s="94"/>
      <c r="NRG5" s="94"/>
      <c r="NRH5" s="94"/>
      <c r="NRI5" s="94"/>
      <c r="NRJ5" s="94"/>
      <c r="NRK5" s="94"/>
      <c r="NRL5" s="94"/>
      <c r="NRM5" s="94"/>
      <c r="NRN5" s="94"/>
      <c r="NRO5" s="94"/>
      <c r="NRP5" s="94"/>
      <c r="NRQ5" s="94"/>
      <c r="NRR5" s="94"/>
      <c r="NRS5" s="94"/>
      <c r="NRT5" s="94"/>
      <c r="NRU5" s="94"/>
      <c r="NRV5" s="94"/>
      <c r="NRW5" s="94"/>
      <c r="NRX5" s="94"/>
      <c r="NRY5" s="94"/>
      <c r="NRZ5" s="94"/>
      <c r="NSA5" s="94"/>
      <c r="NSB5" s="94"/>
      <c r="NSC5" s="94"/>
      <c r="NSD5" s="94"/>
      <c r="NSE5" s="94"/>
      <c r="NSF5" s="94"/>
      <c r="NSG5" s="94"/>
      <c r="NSH5" s="94"/>
      <c r="NSI5" s="94"/>
      <c r="NSJ5" s="94"/>
      <c r="NSK5" s="94"/>
      <c r="NSL5" s="94"/>
      <c r="NSM5" s="94"/>
      <c r="NSN5" s="94"/>
      <c r="NSO5" s="94"/>
      <c r="NSP5" s="94"/>
      <c r="NSQ5" s="94"/>
      <c r="NSR5" s="94"/>
      <c r="NSS5" s="94"/>
      <c r="NST5" s="94"/>
      <c r="NSU5" s="94"/>
      <c r="NSV5" s="94"/>
      <c r="NSW5" s="94"/>
      <c r="NSX5" s="94"/>
      <c r="NSY5" s="94"/>
      <c r="NSZ5" s="94"/>
      <c r="NTA5" s="94"/>
      <c r="NTB5" s="94"/>
      <c r="NTC5" s="94"/>
      <c r="NTD5" s="94"/>
      <c r="NTE5" s="94"/>
      <c r="NTF5" s="94"/>
      <c r="NTG5" s="94"/>
      <c r="NTH5" s="94"/>
      <c r="NTI5" s="94"/>
      <c r="NTJ5" s="94"/>
      <c r="NTK5" s="94"/>
      <c r="NTL5" s="94"/>
      <c r="NTM5" s="94"/>
      <c r="NTN5" s="94"/>
      <c r="NTO5" s="94"/>
      <c r="NTP5" s="94"/>
      <c r="NTQ5" s="94"/>
      <c r="NTR5" s="94"/>
      <c r="NTS5" s="94"/>
      <c r="NTT5" s="94"/>
      <c r="NTU5" s="94"/>
      <c r="NTV5" s="94"/>
      <c r="NTW5" s="94"/>
      <c r="NTX5" s="94"/>
      <c r="NTY5" s="94"/>
      <c r="NTZ5" s="94"/>
      <c r="NUA5" s="94"/>
      <c r="NUB5" s="94"/>
      <c r="NUC5" s="94"/>
      <c r="NUD5" s="94"/>
      <c r="NUE5" s="94"/>
      <c r="NUF5" s="94"/>
      <c r="NUG5" s="94"/>
      <c r="NUH5" s="94"/>
      <c r="NUI5" s="94"/>
      <c r="NUJ5" s="94"/>
      <c r="NUK5" s="94"/>
      <c r="NUL5" s="94"/>
      <c r="NUM5" s="94"/>
      <c r="NUN5" s="94"/>
      <c r="NUO5" s="94"/>
      <c r="NUP5" s="94"/>
      <c r="NUQ5" s="94"/>
      <c r="NUR5" s="94"/>
      <c r="NUS5" s="94"/>
      <c r="NUT5" s="94"/>
      <c r="NUU5" s="94"/>
      <c r="NUV5" s="94"/>
      <c r="NUW5" s="94"/>
      <c r="NUX5" s="94"/>
      <c r="NUY5" s="94"/>
      <c r="NUZ5" s="94"/>
      <c r="NVA5" s="94"/>
      <c r="NVB5" s="94"/>
      <c r="NVC5" s="94"/>
      <c r="NVD5" s="94"/>
      <c r="NVE5" s="94"/>
      <c r="NVF5" s="94"/>
      <c r="NVG5" s="94"/>
      <c r="NVH5" s="94"/>
      <c r="NVI5" s="94"/>
      <c r="NVJ5" s="94"/>
      <c r="NVK5" s="94"/>
      <c r="NVL5" s="94"/>
      <c r="NVM5" s="94"/>
      <c r="NVN5" s="94"/>
      <c r="NVO5" s="94"/>
      <c r="NVP5" s="94"/>
      <c r="NVQ5" s="94"/>
      <c r="NVR5" s="94"/>
      <c r="NVS5" s="94"/>
      <c r="NVT5" s="94"/>
      <c r="NVU5" s="94"/>
      <c r="NVV5" s="94"/>
      <c r="NVW5" s="94"/>
      <c r="NVX5" s="94"/>
      <c r="NVY5" s="94"/>
      <c r="NVZ5" s="94"/>
      <c r="NWA5" s="94"/>
      <c r="NWB5" s="94"/>
      <c r="NWC5" s="94"/>
      <c r="NWD5" s="94"/>
      <c r="NWE5" s="94"/>
      <c r="NWF5" s="94"/>
      <c r="NWG5" s="94"/>
      <c r="NWH5" s="94"/>
      <c r="NWI5" s="94"/>
      <c r="NWJ5" s="94"/>
      <c r="NWK5" s="94"/>
      <c r="NWL5" s="94"/>
      <c r="NWM5" s="94"/>
      <c r="NWN5" s="94"/>
      <c r="NWO5" s="94"/>
      <c r="NWP5" s="94"/>
      <c r="NWQ5" s="94"/>
      <c r="NWR5" s="94"/>
      <c r="NWS5" s="94"/>
      <c r="NWT5" s="94"/>
      <c r="NWU5" s="94"/>
      <c r="NWV5" s="94"/>
      <c r="NWW5" s="94"/>
      <c r="NWX5" s="94"/>
      <c r="NWY5" s="94"/>
      <c r="NWZ5" s="94"/>
      <c r="NXA5" s="94"/>
      <c r="NXB5" s="94"/>
      <c r="NXC5" s="94"/>
      <c r="NXD5" s="94"/>
      <c r="NXE5" s="94"/>
      <c r="NXF5" s="94"/>
      <c r="NXG5" s="94"/>
      <c r="NXH5" s="94"/>
      <c r="NXI5" s="94"/>
      <c r="NXJ5" s="94"/>
      <c r="NXK5" s="94"/>
      <c r="NXL5" s="94"/>
      <c r="NXM5" s="94"/>
      <c r="NXN5" s="94"/>
      <c r="NXO5" s="94"/>
      <c r="NXP5" s="94"/>
      <c r="NXQ5" s="94"/>
      <c r="NXR5" s="94"/>
      <c r="NXS5" s="94"/>
      <c r="NXT5" s="94"/>
      <c r="NXU5" s="94"/>
      <c r="NXV5" s="94"/>
      <c r="NXW5" s="94"/>
      <c r="NXX5" s="94"/>
      <c r="NXY5" s="94"/>
      <c r="NXZ5" s="94"/>
      <c r="NYA5" s="94"/>
      <c r="NYB5" s="94"/>
      <c r="NYC5" s="94"/>
      <c r="NYD5" s="94"/>
      <c r="NYE5" s="94"/>
      <c r="NYF5" s="94"/>
      <c r="NYG5" s="94"/>
      <c r="NYH5" s="94"/>
      <c r="NYI5" s="94"/>
      <c r="NYJ5" s="94"/>
      <c r="NYK5" s="94"/>
      <c r="NYL5" s="94"/>
      <c r="NYM5" s="94"/>
      <c r="NYN5" s="94"/>
      <c r="NYO5" s="94"/>
      <c r="NYP5" s="94"/>
      <c r="NYQ5" s="94"/>
      <c r="NYR5" s="94"/>
      <c r="NYS5" s="94"/>
      <c r="NYT5" s="94"/>
      <c r="NYU5" s="94"/>
      <c r="NYV5" s="94"/>
      <c r="NYW5" s="94"/>
      <c r="NYX5" s="94"/>
      <c r="NYY5" s="94"/>
      <c r="NYZ5" s="94"/>
      <c r="NZA5" s="94"/>
      <c r="NZB5" s="94"/>
      <c r="NZC5" s="94"/>
      <c r="NZD5" s="94"/>
      <c r="NZE5" s="94"/>
      <c r="NZF5" s="94"/>
      <c r="NZG5" s="94"/>
      <c r="NZH5" s="94"/>
      <c r="NZI5" s="94"/>
      <c r="NZJ5" s="94"/>
      <c r="NZK5" s="94"/>
      <c r="NZL5" s="94"/>
      <c r="NZM5" s="94"/>
      <c r="NZN5" s="94"/>
      <c r="NZO5" s="94"/>
      <c r="NZP5" s="94"/>
      <c r="NZQ5" s="94"/>
      <c r="NZR5" s="94"/>
      <c r="NZS5" s="94"/>
      <c r="NZT5" s="94"/>
      <c r="NZU5" s="94"/>
      <c r="NZV5" s="94"/>
      <c r="NZW5" s="94"/>
      <c r="NZX5" s="94"/>
      <c r="NZY5" s="94"/>
      <c r="NZZ5" s="94"/>
      <c r="OAA5" s="94"/>
      <c r="OAB5" s="94"/>
      <c r="OAC5" s="94"/>
      <c r="OAD5" s="94"/>
      <c r="OAE5" s="94"/>
      <c r="OAF5" s="94"/>
      <c r="OAG5" s="94"/>
      <c r="OAH5" s="94"/>
      <c r="OAI5" s="94"/>
      <c r="OAJ5" s="94"/>
      <c r="OAK5" s="94"/>
      <c r="OAL5" s="94"/>
      <c r="OAM5" s="94"/>
      <c r="OAN5" s="94"/>
      <c r="OAO5" s="94"/>
      <c r="OAP5" s="94"/>
      <c r="OAQ5" s="94"/>
      <c r="OAR5" s="94"/>
      <c r="OAS5" s="94"/>
      <c r="OAT5" s="94"/>
      <c r="OAU5" s="94"/>
      <c r="OAV5" s="94"/>
      <c r="OAW5" s="94"/>
      <c r="OAX5" s="94"/>
      <c r="OAY5" s="94"/>
      <c r="OAZ5" s="94"/>
      <c r="OBA5" s="94"/>
      <c r="OBB5" s="94"/>
      <c r="OBC5" s="94"/>
      <c r="OBD5" s="94"/>
      <c r="OBE5" s="94"/>
      <c r="OBF5" s="94"/>
      <c r="OBG5" s="94"/>
      <c r="OBH5" s="94"/>
      <c r="OBI5" s="94"/>
      <c r="OBJ5" s="94"/>
      <c r="OBK5" s="94"/>
      <c r="OBL5" s="94"/>
      <c r="OBM5" s="94"/>
      <c r="OBN5" s="94"/>
      <c r="OBO5" s="94"/>
      <c r="OBP5" s="94"/>
      <c r="OBQ5" s="94"/>
      <c r="OBR5" s="94"/>
      <c r="OBS5" s="94"/>
      <c r="OBT5" s="94"/>
      <c r="OBU5" s="94"/>
      <c r="OBV5" s="94"/>
      <c r="OBW5" s="94"/>
      <c r="OBX5" s="94"/>
      <c r="OBY5" s="94"/>
      <c r="OBZ5" s="94"/>
      <c r="OCA5" s="94"/>
      <c r="OCB5" s="94"/>
      <c r="OCC5" s="94"/>
      <c r="OCD5" s="94"/>
      <c r="OCE5" s="94"/>
      <c r="OCF5" s="94"/>
      <c r="OCG5" s="94"/>
      <c r="OCH5" s="94"/>
      <c r="OCI5" s="94"/>
      <c r="OCJ5" s="94"/>
      <c r="OCK5" s="94"/>
      <c r="OCL5" s="94"/>
      <c r="OCM5" s="94"/>
      <c r="OCN5" s="94"/>
      <c r="OCO5" s="94"/>
      <c r="OCP5" s="94"/>
      <c r="OCQ5" s="94"/>
      <c r="OCR5" s="94"/>
      <c r="OCS5" s="94"/>
      <c r="OCT5" s="94"/>
      <c r="OCU5" s="94"/>
      <c r="OCV5" s="94"/>
      <c r="OCW5" s="94"/>
      <c r="OCX5" s="94"/>
      <c r="OCY5" s="94"/>
      <c r="OCZ5" s="94"/>
      <c r="ODA5" s="94"/>
      <c r="ODB5" s="94"/>
      <c r="ODC5" s="94"/>
      <c r="ODD5" s="94"/>
      <c r="ODE5" s="94"/>
      <c r="ODF5" s="94"/>
      <c r="ODG5" s="94"/>
      <c r="ODH5" s="94"/>
      <c r="ODI5" s="94"/>
      <c r="ODJ5" s="94"/>
      <c r="ODK5" s="94"/>
      <c r="ODL5" s="94"/>
      <c r="ODM5" s="94"/>
      <c r="ODN5" s="94"/>
      <c r="ODO5" s="94"/>
      <c r="ODP5" s="94"/>
      <c r="ODQ5" s="94"/>
      <c r="ODR5" s="94"/>
      <c r="ODS5" s="94"/>
      <c r="ODT5" s="94"/>
      <c r="ODU5" s="94"/>
      <c r="ODV5" s="94"/>
      <c r="ODW5" s="94"/>
      <c r="ODX5" s="94"/>
      <c r="ODY5" s="94"/>
      <c r="ODZ5" s="94"/>
      <c r="OEA5" s="94"/>
      <c r="OEB5" s="94"/>
      <c r="OEC5" s="94"/>
      <c r="OED5" s="94"/>
      <c r="OEE5" s="94"/>
      <c r="OEF5" s="94"/>
      <c r="OEG5" s="94"/>
      <c r="OEH5" s="94"/>
      <c r="OEI5" s="94"/>
      <c r="OEJ5" s="94"/>
      <c r="OEK5" s="94"/>
      <c r="OEL5" s="94"/>
      <c r="OEM5" s="94"/>
      <c r="OEN5" s="94"/>
      <c r="OEO5" s="94"/>
      <c r="OEP5" s="94"/>
      <c r="OEQ5" s="94"/>
      <c r="OER5" s="94"/>
      <c r="OES5" s="94"/>
      <c r="OET5" s="94"/>
      <c r="OEU5" s="94"/>
      <c r="OEV5" s="94"/>
      <c r="OEW5" s="94"/>
      <c r="OEX5" s="94"/>
      <c r="OEY5" s="94"/>
      <c r="OEZ5" s="94"/>
      <c r="OFA5" s="94"/>
      <c r="OFB5" s="94"/>
      <c r="OFC5" s="94"/>
      <c r="OFD5" s="94"/>
      <c r="OFE5" s="94"/>
      <c r="OFF5" s="94"/>
      <c r="OFG5" s="94"/>
      <c r="OFH5" s="94"/>
      <c r="OFI5" s="94"/>
      <c r="OFJ5" s="94"/>
      <c r="OFK5" s="94"/>
      <c r="OFL5" s="94"/>
      <c r="OFM5" s="94"/>
      <c r="OFN5" s="94"/>
      <c r="OFO5" s="94"/>
      <c r="OFP5" s="94"/>
      <c r="OFQ5" s="94"/>
      <c r="OFR5" s="94"/>
      <c r="OFS5" s="94"/>
      <c r="OFT5" s="94"/>
      <c r="OFU5" s="94"/>
      <c r="OFV5" s="94"/>
      <c r="OFW5" s="94"/>
      <c r="OFX5" s="94"/>
      <c r="OFY5" s="94"/>
      <c r="OFZ5" s="94"/>
      <c r="OGA5" s="94"/>
      <c r="OGB5" s="94"/>
      <c r="OGC5" s="94"/>
      <c r="OGD5" s="94"/>
      <c r="OGE5" s="94"/>
      <c r="OGF5" s="94"/>
      <c r="OGG5" s="94"/>
      <c r="OGH5" s="94"/>
      <c r="OGI5" s="94"/>
      <c r="OGJ5" s="94"/>
      <c r="OGK5" s="94"/>
      <c r="OGL5" s="94"/>
      <c r="OGM5" s="94"/>
      <c r="OGN5" s="94"/>
      <c r="OGO5" s="94"/>
      <c r="OGP5" s="94"/>
      <c r="OGQ5" s="94"/>
      <c r="OGR5" s="94"/>
      <c r="OGS5" s="94"/>
      <c r="OGT5" s="94"/>
      <c r="OGU5" s="94"/>
      <c r="OGV5" s="94"/>
      <c r="OGW5" s="94"/>
      <c r="OGX5" s="94"/>
      <c r="OGY5" s="94"/>
      <c r="OGZ5" s="94"/>
      <c r="OHA5" s="94"/>
      <c r="OHB5" s="94"/>
      <c r="OHC5" s="94"/>
      <c r="OHD5" s="94"/>
      <c r="OHE5" s="94"/>
      <c r="OHF5" s="94"/>
      <c r="OHG5" s="94"/>
      <c r="OHH5" s="94"/>
      <c r="OHI5" s="94"/>
      <c r="OHJ5" s="94"/>
      <c r="OHK5" s="94"/>
      <c r="OHL5" s="94"/>
      <c r="OHM5" s="94"/>
      <c r="OHN5" s="94"/>
      <c r="OHO5" s="94"/>
      <c r="OHP5" s="94"/>
      <c r="OHQ5" s="94"/>
      <c r="OHR5" s="94"/>
      <c r="OHS5" s="94"/>
      <c r="OHT5" s="94"/>
      <c r="OHU5" s="94"/>
      <c r="OHV5" s="94"/>
      <c r="OHW5" s="94"/>
      <c r="OHX5" s="94"/>
      <c r="OHY5" s="94"/>
      <c r="OHZ5" s="94"/>
      <c r="OIA5" s="94"/>
      <c r="OIB5" s="94"/>
      <c r="OIC5" s="94"/>
      <c r="OID5" s="94"/>
      <c r="OIE5" s="94"/>
      <c r="OIF5" s="94"/>
      <c r="OIG5" s="94"/>
      <c r="OIH5" s="94"/>
      <c r="OII5" s="94"/>
      <c r="OIJ5" s="94"/>
      <c r="OIK5" s="94"/>
      <c r="OIL5" s="94"/>
      <c r="OIM5" s="94"/>
      <c r="OIN5" s="94"/>
      <c r="OIO5" s="94"/>
      <c r="OIP5" s="94"/>
      <c r="OIQ5" s="94"/>
      <c r="OIR5" s="94"/>
      <c r="OIS5" s="94"/>
      <c r="OIT5" s="94"/>
      <c r="OIU5" s="94"/>
      <c r="OIV5" s="94"/>
      <c r="OIW5" s="94"/>
      <c r="OIX5" s="94"/>
      <c r="OIY5" s="94"/>
      <c r="OIZ5" s="94"/>
      <c r="OJA5" s="94"/>
      <c r="OJB5" s="94"/>
      <c r="OJC5" s="94"/>
      <c r="OJD5" s="94"/>
      <c r="OJE5" s="94"/>
      <c r="OJF5" s="94"/>
      <c r="OJG5" s="94"/>
      <c r="OJH5" s="94"/>
      <c r="OJI5" s="94"/>
      <c r="OJJ5" s="94"/>
      <c r="OJK5" s="94"/>
      <c r="OJL5" s="94"/>
      <c r="OJM5" s="94"/>
      <c r="OJN5" s="94"/>
      <c r="OJO5" s="94"/>
      <c r="OJP5" s="94"/>
      <c r="OJQ5" s="94"/>
      <c r="OJR5" s="94"/>
      <c r="OJS5" s="94"/>
      <c r="OJT5" s="94"/>
      <c r="OJU5" s="94"/>
      <c r="OJV5" s="94"/>
      <c r="OJW5" s="94"/>
      <c r="OJX5" s="94"/>
      <c r="OJY5" s="94"/>
      <c r="OJZ5" s="94"/>
      <c r="OKA5" s="94"/>
      <c r="OKB5" s="94"/>
      <c r="OKC5" s="94"/>
      <c r="OKD5" s="94"/>
      <c r="OKE5" s="94"/>
      <c r="OKF5" s="94"/>
      <c r="OKG5" s="94"/>
      <c r="OKH5" s="94"/>
      <c r="OKI5" s="94"/>
      <c r="OKJ5" s="94"/>
      <c r="OKK5" s="94"/>
      <c r="OKL5" s="94"/>
      <c r="OKM5" s="94"/>
      <c r="OKN5" s="94"/>
      <c r="OKO5" s="94"/>
      <c r="OKP5" s="94"/>
      <c r="OKQ5" s="94"/>
      <c r="OKR5" s="94"/>
      <c r="OKS5" s="94"/>
      <c r="OKT5" s="94"/>
      <c r="OKU5" s="94"/>
      <c r="OKV5" s="94"/>
      <c r="OKW5" s="94"/>
      <c r="OKX5" s="94"/>
      <c r="OKY5" s="94"/>
      <c r="OKZ5" s="94"/>
      <c r="OLA5" s="94"/>
      <c r="OLB5" s="94"/>
      <c r="OLC5" s="94"/>
      <c r="OLD5" s="94"/>
      <c r="OLE5" s="94"/>
      <c r="OLF5" s="94"/>
      <c r="OLG5" s="94"/>
      <c r="OLH5" s="94"/>
      <c r="OLI5" s="94"/>
      <c r="OLJ5" s="94"/>
      <c r="OLK5" s="94"/>
      <c r="OLL5" s="94"/>
      <c r="OLM5" s="94"/>
      <c r="OLN5" s="94"/>
      <c r="OLO5" s="94"/>
      <c r="OLP5" s="94"/>
      <c r="OLQ5" s="94"/>
      <c r="OLR5" s="94"/>
      <c r="OLS5" s="94"/>
      <c r="OLT5" s="94"/>
      <c r="OLU5" s="94"/>
      <c r="OLV5" s="94"/>
      <c r="OLW5" s="94"/>
      <c r="OLX5" s="94"/>
      <c r="OLY5" s="94"/>
      <c r="OLZ5" s="94"/>
      <c r="OMA5" s="94"/>
      <c r="OMB5" s="94"/>
      <c r="OMC5" s="94"/>
      <c r="OMD5" s="94"/>
      <c r="OME5" s="94"/>
      <c r="OMF5" s="94"/>
      <c r="OMG5" s="94"/>
      <c r="OMH5" s="94"/>
      <c r="OMI5" s="94"/>
      <c r="OMJ5" s="94"/>
      <c r="OMK5" s="94"/>
      <c r="OML5" s="94"/>
      <c r="OMM5" s="94"/>
      <c r="OMN5" s="94"/>
      <c r="OMO5" s="94"/>
      <c r="OMP5" s="94"/>
      <c r="OMQ5" s="94"/>
      <c r="OMR5" s="94"/>
      <c r="OMS5" s="94"/>
      <c r="OMT5" s="94"/>
      <c r="OMU5" s="94"/>
      <c r="OMV5" s="94"/>
      <c r="OMW5" s="94"/>
      <c r="OMX5" s="94"/>
      <c r="OMY5" s="94"/>
      <c r="OMZ5" s="94"/>
      <c r="ONA5" s="94"/>
      <c r="ONB5" s="94"/>
      <c r="ONC5" s="94"/>
      <c r="OND5" s="94"/>
      <c r="ONE5" s="94"/>
      <c r="ONF5" s="94"/>
      <c r="ONG5" s="94"/>
      <c r="ONH5" s="94"/>
      <c r="ONI5" s="94"/>
      <c r="ONJ5" s="94"/>
      <c r="ONK5" s="94"/>
      <c r="ONL5" s="94"/>
      <c r="ONM5" s="94"/>
      <c r="ONN5" s="94"/>
      <c r="ONO5" s="94"/>
      <c r="ONP5" s="94"/>
      <c r="ONQ5" s="94"/>
      <c r="ONR5" s="94"/>
      <c r="ONS5" s="94"/>
      <c r="ONT5" s="94"/>
      <c r="ONU5" s="94"/>
      <c r="ONV5" s="94"/>
      <c r="ONW5" s="94"/>
      <c r="ONX5" s="94"/>
      <c r="ONY5" s="94"/>
      <c r="ONZ5" s="94"/>
      <c r="OOA5" s="94"/>
      <c r="OOB5" s="94"/>
      <c r="OOC5" s="94"/>
      <c r="OOD5" s="94"/>
      <c r="OOE5" s="94"/>
      <c r="OOF5" s="94"/>
      <c r="OOG5" s="94"/>
      <c r="OOH5" s="94"/>
      <c r="OOI5" s="94"/>
      <c r="OOJ5" s="94"/>
      <c r="OOK5" s="94"/>
      <c r="OOL5" s="94"/>
      <c r="OOM5" s="94"/>
      <c r="OON5" s="94"/>
      <c r="OOO5" s="94"/>
      <c r="OOP5" s="94"/>
      <c r="OOQ5" s="94"/>
      <c r="OOR5" s="94"/>
      <c r="OOS5" s="94"/>
      <c r="OOT5" s="94"/>
      <c r="OOU5" s="94"/>
      <c r="OOV5" s="94"/>
      <c r="OOW5" s="94"/>
      <c r="OOX5" s="94"/>
      <c r="OOY5" s="94"/>
      <c r="OOZ5" s="94"/>
      <c r="OPA5" s="94"/>
      <c r="OPB5" s="94"/>
      <c r="OPC5" s="94"/>
      <c r="OPD5" s="94"/>
      <c r="OPE5" s="94"/>
      <c r="OPF5" s="94"/>
      <c r="OPG5" s="94"/>
      <c r="OPH5" s="94"/>
      <c r="OPI5" s="94"/>
      <c r="OPJ5" s="94"/>
      <c r="OPK5" s="94"/>
      <c r="OPL5" s="94"/>
      <c r="OPM5" s="94"/>
      <c r="OPN5" s="94"/>
      <c r="OPO5" s="94"/>
      <c r="OPP5" s="94"/>
      <c r="OPQ5" s="94"/>
      <c r="OPR5" s="94"/>
      <c r="OPS5" s="94"/>
      <c r="OPT5" s="94"/>
      <c r="OPU5" s="94"/>
      <c r="OPV5" s="94"/>
      <c r="OPW5" s="94"/>
      <c r="OPX5" s="94"/>
      <c r="OPY5" s="94"/>
      <c r="OPZ5" s="94"/>
      <c r="OQA5" s="94"/>
      <c r="OQB5" s="94"/>
      <c r="OQC5" s="94"/>
      <c r="OQD5" s="94"/>
      <c r="OQE5" s="94"/>
      <c r="OQF5" s="94"/>
      <c r="OQG5" s="94"/>
      <c r="OQH5" s="94"/>
      <c r="OQI5" s="94"/>
      <c r="OQJ5" s="94"/>
      <c r="OQK5" s="94"/>
      <c r="OQL5" s="94"/>
      <c r="OQM5" s="94"/>
      <c r="OQN5" s="94"/>
      <c r="OQO5" s="94"/>
      <c r="OQP5" s="94"/>
      <c r="OQQ5" s="94"/>
      <c r="OQR5" s="94"/>
      <c r="OQS5" s="94"/>
      <c r="OQT5" s="94"/>
      <c r="OQU5" s="94"/>
      <c r="OQV5" s="94"/>
      <c r="OQW5" s="94"/>
      <c r="OQX5" s="94"/>
      <c r="OQY5" s="94"/>
      <c r="OQZ5" s="94"/>
      <c r="ORA5" s="94"/>
      <c r="ORB5" s="94"/>
      <c r="ORC5" s="94"/>
      <c r="ORD5" s="94"/>
      <c r="ORE5" s="94"/>
      <c r="ORF5" s="94"/>
      <c r="ORG5" s="94"/>
      <c r="ORH5" s="94"/>
      <c r="ORI5" s="94"/>
      <c r="ORJ5" s="94"/>
      <c r="ORK5" s="94"/>
      <c r="ORL5" s="94"/>
      <c r="ORM5" s="94"/>
      <c r="ORN5" s="94"/>
      <c r="ORO5" s="94"/>
      <c r="ORP5" s="94"/>
      <c r="ORQ5" s="94"/>
      <c r="ORR5" s="94"/>
      <c r="ORS5" s="94"/>
      <c r="ORT5" s="94"/>
      <c r="ORU5" s="94"/>
      <c r="ORV5" s="94"/>
      <c r="ORW5" s="94"/>
      <c r="ORX5" s="94"/>
      <c r="ORY5" s="94"/>
      <c r="ORZ5" s="94"/>
      <c r="OSA5" s="94"/>
      <c r="OSB5" s="94"/>
      <c r="OSC5" s="94"/>
      <c r="OSD5" s="94"/>
      <c r="OSE5" s="94"/>
      <c r="OSF5" s="94"/>
      <c r="OSG5" s="94"/>
      <c r="OSH5" s="94"/>
      <c r="OSI5" s="94"/>
      <c r="OSJ5" s="94"/>
      <c r="OSK5" s="94"/>
      <c r="OSL5" s="94"/>
      <c r="OSM5" s="94"/>
      <c r="OSN5" s="94"/>
      <c r="OSO5" s="94"/>
      <c r="OSP5" s="94"/>
      <c r="OSQ5" s="94"/>
      <c r="OSR5" s="94"/>
      <c r="OSS5" s="94"/>
      <c r="OST5" s="94"/>
      <c r="OSU5" s="94"/>
      <c r="OSV5" s="94"/>
      <c r="OSW5" s="94"/>
      <c r="OSX5" s="94"/>
      <c r="OSY5" s="94"/>
      <c r="OSZ5" s="94"/>
      <c r="OTA5" s="94"/>
      <c r="OTB5" s="94"/>
      <c r="OTC5" s="94"/>
      <c r="OTD5" s="94"/>
      <c r="OTE5" s="94"/>
      <c r="OTF5" s="94"/>
      <c r="OTG5" s="94"/>
      <c r="OTH5" s="94"/>
      <c r="OTI5" s="94"/>
      <c r="OTJ5" s="94"/>
      <c r="OTK5" s="94"/>
      <c r="OTL5" s="94"/>
      <c r="OTM5" s="94"/>
      <c r="OTN5" s="94"/>
      <c r="OTO5" s="94"/>
      <c r="OTP5" s="94"/>
      <c r="OTQ5" s="94"/>
      <c r="OTR5" s="94"/>
      <c r="OTS5" s="94"/>
      <c r="OTT5" s="94"/>
      <c r="OTU5" s="94"/>
      <c r="OTV5" s="94"/>
      <c r="OTW5" s="94"/>
      <c r="OTX5" s="94"/>
      <c r="OTY5" s="94"/>
      <c r="OTZ5" s="94"/>
      <c r="OUA5" s="94"/>
      <c r="OUB5" s="94"/>
      <c r="OUC5" s="94"/>
      <c r="OUD5" s="94"/>
      <c r="OUE5" s="94"/>
      <c r="OUF5" s="94"/>
      <c r="OUG5" s="94"/>
      <c r="OUH5" s="94"/>
      <c r="OUI5" s="94"/>
      <c r="OUJ5" s="94"/>
      <c r="OUK5" s="94"/>
      <c r="OUL5" s="94"/>
      <c r="OUM5" s="94"/>
      <c r="OUN5" s="94"/>
      <c r="OUO5" s="94"/>
      <c r="OUP5" s="94"/>
      <c r="OUQ5" s="94"/>
      <c r="OUR5" s="94"/>
      <c r="OUS5" s="94"/>
      <c r="OUT5" s="94"/>
      <c r="OUU5" s="94"/>
      <c r="OUV5" s="94"/>
      <c r="OUW5" s="94"/>
      <c r="OUX5" s="94"/>
      <c r="OUY5" s="94"/>
      <c r="OUZ5" s="94"/>
      <c r="OVA5" s="94"/>
      <c r="OVB5" s="94"/>
      <c r="OVC5" s="94"/>
      <c r="OVD5" s="94"/>
      <c r="OVE5" s="94"/>
      <c r="OVF5" s="94"/>
      <c r="OVG5" s="94"/>
      <c r="OVH5" s="94"/>
      <c r="OVI5" s="94"/>
      <c r="OVJ5" s="94"/>
      <c r="OVK5" s="94"/>
      <c r="OVL5" s="94"/>
      <c r="OVM5" s="94"/>
      <c r="OVN5" s="94"/>
      <c r="OVO5" s="94"/>
      <c r="OVP5" s="94"/>
      <c r="OVQ5" s="94"/>
      <c r="OVR5" s="94"/>
      <c r="OVS5" s="94"/>
      <c r="OVT5" s="94"/>
      <c r="OVU5" s="94"/>
      <c r="OVV5" s="94"/>
      <c r="OVW5" s="94"/>
      <c r="OVX5" s="94"/>
      <c r="OVY5" s="94"/>
      <c r="OVZ5" s="94"/>
      <c r="OWA5" s="94"/>
      <c r="OWB5" s="94"/>
      <c r="OWC5" s="94"/>
      <c r="OWD5" s="94"/>
      <c r="OWE5" s="94"/>
      <c r="OWF5" s="94"/>
      <c r="OWG5" s="94"/>
      <c r="OWH5" s="94"/>
      <c r="OWI5" s="94"/>
      <c r="OWJ5" s="94"/>
      <c r="OWK5" s="94"/>
      <c r="OWL5" s="94"/>
      <c r="OWM5" s="94"/>
      <c r="OWN5" s="94"/>
      <c r="OWO5" s="94"/>
      <c r="OWP5" s="94"/>
      <c r="OWQ5" s="94"/>
      <c r="OWR5" s="94"/>
      <c r="OWS5" s="94"/>
      <c r="OWT5" s="94"/>
      <c r="OWU5" s="94"/>
      <c r="OWV5" s="94"/>
      <c r="OWW5" s="94"/>
      <c r="OWX5" s="94"/>
      <c r="OWY5" s="94"/>
      <c r="OWZ5" s="94"/>
      <c r="OXA5" s="94"/>
      <c r="OXB5" s="94"/>
      <c r="OXC5" s="94"/>
      <c r="OXD5" s="94"/>
      <c r="OXE5" s="94"/>
      <c r="OXF5" s="94"/>
      <c r="OXG5" s="94"/>
      <c r="OXH5" s="94"/>
      <c r="OXI5" s="94"/>
      <c r="OXJ5" s="94"/>
      <c r="OXK5" s="94"/>
      <c r="OXL5" s="94"/>
      <c r="OXM5" s="94"/>
      <c r="OXN5" s="94"/>
      <c r="OXO5" s="94"/>
      <c r="OXP5" s="94"/>
      <c r="OXQ5" s="94"/>
      <c r="OXR5" s="94"/>
      <c r="OXS5" s="94"/>
      <c r="OXT5" s="94"/>
      <c r="OXU5" s="94"/>
      <c r="OXV5" s="94"/>
      <c r="OXW5" s="94"/>
      <c r="OXX5" s="94"/>
      <c r="OXY5" s="94"/>
      <c r="OXZ5" s="94"/>
      <c r="OYA5" s="94"/>
      <c r="OYB5" s="94"/>
      <c r="OYC5" s="94"/>
      <c r="OYD5" s="94"/>
      <c r="OYE5" s="94"/>
      <c r="OYF5" s="94"/>
      <c r="OYG5" s="94"/>
      <c r="OYH5" s="94"/>
      <c r="OYI5" s="94"/>
      <c r="OYJ5" s="94"/>
      <c r="OYK5" s="94"/>
      <c r="OYL5" s="94"/>
      <c r="OYM5" s="94"/>
      <c r="OYN5" s="94"/>
      <c r="OYO5" s="94"/>
      <c r="OYP5" s="94"/>
      <c r="OYQ5" s="94"/>
      <c r="OYR5" s="94"/>
      <c r="OYS5" s="94"/>
      <c r="OYT5" s="94"/>
      <c r="OYU5" s="94"/>
      <c r="OYV5" s="94"/>
      <c r="OYW5" s="94"/>
      <c r="OYX5" s="94"/>
      <c r="OYY5" s="94"/>
      <c r="OYZ5" s="94"/>
      <c r="OZA5" s="94"/>
      <c r="OZB5" s="94"/>
      <c r="OZC5" s="94"/>
      <c r="OZD5" s="94"/>
      <c r="OZE5" s="94"/>
      <c r="OZF5" s="94"/>
      <c r="OZG5" s="94"/>
      <c r="OZH5" s="94"/>
      <c r="OZI5" s="94"/>
      <c r="OZJ5" s="94"/>
      <c r="OZK5" s="94"/>
      <c r="OZL5" s="94"/>
      <c r="OZM5" s="94"/>
      <c r="OZN5" s="94"/>
      <c r="OZO5" s="94"/>
      <c r="OZP5" s="94"/>
      <c r="OZQ5" s="94"/>
      <c r="OZR5" s="94"/>
      <c r="OZS5" s="94"/>
      <c r="OZT5" s="94"/>
      <c r="OZU5" s="94"/>
      <c r="OZV5" s="94"/>
      <c r="OZW5" s="94"/>
      <c r="OZX5" s="94"/>
      <c r="OZY5" s="94"/>
      <c r="OZZ5" s="94"/>
      <c r="PAA5" s="94"/>
      <c r="PAB5" s="94"/>
      <c r="PAC5" s="94"/>
      <c r="PAD5" s="94"/>
      <c r="PAE5" s="94"/>
      <c r="PAF5" s="94"/>
      <c r="PAG5" s="94"/>
      <c r="PAH5" s="94"/>
      <c r="PAI5" s="94"/>
      <c r="PAJ5" s="94"/>
      <c r="PAK5" s="94"/>
      <c r="PAL5" s="94"/>
      <c r="PAM5" s="94"/>
      <c r="PAN5" s="94"/>
      <c r="PAO5" s="94"/>
      <c r="PAP5" s="94"/>
      <c r="PAQ5" s="94"/>
      <c r="PAR5" s="94"/>
      <c r="PAS5" s="94"/>
      <c r="PAT5" s="94"/>
      <c r="PAU5" s="94"/>
      <c r="PAV5" s="94"/>
      <c r="PAW5" s="94"/>
      <c r="PAX5" s="94"/>
      <c r="PAY5" s="94"/>
      <c r="PAZ5" s="94"/>
      <c r="PBA5" s="94"/>
      <c r="PBB5" s="94"/>
      <c r="PBC5" s="94"/>
      <c r="PBD5" s="94"/>
      <c r="PBE5" s="94"/>
      <c r="PBF5" s="94"/>
      <c r="PBG5" s="94"/>
      <c r="PBH5" s="94"/>
      <c r="PBI5" s="94"/>
      <c r="PBJ5" s="94"/>
      <c r="PBK5" s="94"/>
      <c r="PBL5" s="94"/>
      <c r="PBM5" s="94"/>
      <c r="PBN5" s="94"/>
      <c r="PBO5" s="94"/>
      <c r="PBP5" s="94"/>
      <c r="PBQ5" s="94"/>
      <c r="PBR5" s="94"/>
      <c r="PBS5" s="94"/>
      <c r="PBT5" s="94"/>
      <c r="PBU5" s="94"/>
      <c r="PBV5" s="94"/>
      <c r="PBW5" s="94"/>
      <c r="PBX5" s="94"/>
      <c r="PBY5" s="94"/>
      <c r="PBZ5" s="94"/>
      <c r="PCA5" s="94"/>
      <c r="PCB5" s="94"/>
      <c r="PCC5" s="94"/>
      <c r="PCD5" s="94"/>
      <c r="PCE5" s="94"/>
      <c r="PCF5" s="94"/>
      <c r="PCG5" s="94"/>
      <c r="PCH5" s="94"/>
      <c r="PCI5" s="94"/>
      <c r="PCJ5" s="94"/>
      <c r="PCK5" s="94"/>
      <c r="PCL5" s="94"/>
      <c r="PCM5" s="94"/>
      <c r="PCN5" s="94"/>
      <c r="PCO5" s="94"/>
      <c r="PCP5" s="94"/>
      <c r="PCQ5" s="94"/>
      <c r="PCR5" s="94"/>
      <c r="PCS5" s="94"/>
      <c r="PCT5" s="94"/>
      <c r="PCU5" s="94"/>
      <c r="PCV5" s="94"/>
      <c r="PCW5" s="94"/>
      <c r="PCX5" s="94"/>
      <c r="PCY5" s="94"/>
      <c r="PCZ5" s="94"/>
      <c r="PDA5" s="94"/>
      <c r="PDB5" s="94"/>
      <c r="PDC5" s="94"/>
      <c r="PDD5" s="94"/>
      <c r="PDE5" s="94"/>
      <c r="PDF5" s="94"/>
      <c r="PDG5" s="94"/>
      <c r="PDH5" s="94"/>
      <c r="PDI5" s="94"/>
      <c r="PDJ5" s="94"/>
      <c r="PDK5" s="94"/>
      <c r="PDL5" s="94"/>
      <c r="PDM5" s="94"/>
      <c r="PDN5" s="94"/>
      <c r="PDO5" s="94"/>
      <c r="PDP5" s="94"/>
      <c r="PDQ5" s="94"/>
      <c r="PDR5" s="94"/>
      <c r="PDS5" s="94"/>
      <c r="PDT5" s="94"/>
      <c r="PDU5" s="94"/>
      <c r="PDV5" s="94"/>
      <c r="PDW5" s="94"/>
      <c r="PDX5" s="94"/>
      <c r="PDY5" s="94"/>
      <c r="PDZ5" s="94"/>
      <c r="PEA5" s="94"/>
      <c r="PEB5" s="94"/>
      <c r="PEC5" s="94"/>
      <c r="PED5" s="94"/>
      <c r="PEE5" s="94"/>
      <c r="PEF5" s="94"/>
      <c r="PEG5" s="94"/>
      <c r="PEH5" s="94"/>
      <c r="PEI5" s="94"/>
      <c r="PEJ5" s="94"/>
      <c r="PEK5" s="94"/>
      <c r="PEL5" s="94"/>
      <c r="PEM5" s="94"/>
      <c r="PEN5" s="94"/>
      <c r="PEO5" s="94"/>
      <c r="PEP5" s="94"/>
      <c r="PEQ5" s="94"/>
      <c r="PER5" s="94"/>
      <c r="PES5" s="94"/>
      <c r="PET5" s="94"/>
      <c r="PEU5" s="94"/>
      <c r="PEV5" s="94"/>
      <c r="PEW5" s="94"/>
      <c r="PEX5" s="94"/>
      <c r="PEY5" s="94"/>
      <c r="PEZ5" s="94"/>
      <c r="PFA5" s="94"/>
      <c r="PFB5" s="94"/>
      <c r="PFC5" s="94"/>
      <c r="PFD5" s="94"/>
      <c r="PFE5" s="94"/>
      <c r="PFF5" s="94"/>
      <c r="PFG5" s="94"/>
      <c r="PFH5" s="94"/>
      <c r="PFI5" s="94"/>
      <c r="PFJ5" s="94"/>
      <c r="PFK5" s="94"/>
      <c r="PFL5" s="94"/>
      <c r="PFM5" s="94"/>
      <c r="PFN5" s="94"/>
      <c r="PFO5" s="94"/>
      <c r="PFP5" s="94"/>
      <c r="PFQ5" s="94"/>
      <c r="PFR5" s="94"/>
      <c r="PFS5" s="94"/>
      <c r="PFT5" s="94"/>
      <c r="PFU5" s="94"/>
      <c r="PFV5" s="94"/>
      <c r="PFW5" s="94"/>
      <c r="PFX5" s="94"/>
      <c r="PFY5" s="94"/>
      <c r="PFZ5" s="94"/>
      <c r="PGA5" s="94"/>
      <c r="PGB5" s="94"/>
      <c r="PGC5" s="94"/>
      <c r="PGD5" s="94"/>
      <c r="PGE5" s="94"/>
      <c r="PGF5" s="94"/>
      <c r="PGG5" s="94"/>
      <c r="PGH5" s="94"/>
      <c r="PGI5" s="94"/>
      <c r="PGJ5" s="94"/>
      <c r="PGK5" s="94"/>
      <c r="PGL5" s="94"/>
      <c r="PGM5" s="94"/>
      <c r="PGN5" s="94"/>
      <c r="PGO5" s="94"/>
      <c r="PGP5" s="94"/>
      <c r="PGQ5" s="94"/>
      <c r="PGR5" s="94"/>
      <c r="PGS5" s="94"/>
      <c r="PGT5" s="94"/>
      <c r="PGU5" s="94"/>
      <c r="PGV5" s="94"/>
      <c r="PGW5" s="94"/>
      <c r="PGX5" s="94"/>
      <c r="PGY5" s="94"/>
      <c r="PGZ5" s="94"/>
      <c r="PHA5" s="94"/>
      <c r="PHB5" s="94"/>
      <c r="PHC5" s="94"/>
      <c r="PHD5" s="94"/>
      <c r="PHE5" s="94"/>
      <c r="PHF5" s="94"/>
      <c r="PHG5" s="94"/>
      <c r="PHH5" s="94"/>
      <c r="PHI5" s="94"/>
      <c r="PHJ5" s="94"/>
      <c r="PHK5" s="94"/>
      <c r="PHL5" s="94"/>
      <c r="PHM5" s="94"/>
      <c r="PHN5" s="94"/>
      <c r="PHO5" s="94"/>
      <c r="PHP5" s="94"/>
      <c r="PHQ5" s="94"/>
      <c r="PHR5" s="94"/>
      <c r="PHS5" s="94"/>
      <c r="PHT5" s="94"/>
      <c r="PHU5" s="94"/>
      <c r="PHV5" s="94"/>
      <c r="PHW5" s="94"/>
      <c r="PHX5" s="94"/>
      <c r="PHY5" s="94"/>
      <c r="PHZ5" s="94"/>
      <c r="PIA5" s="94"/>
      <c r="PIB5" s="94"/>
      <c r="PIC5" s="94"/>
      <c r="PID5" s="94"/>
      <c r="PIE5" s="94"/>
      <c r="PIF5" s="94"/>
      <c r="PIG5" s="94"/>
      <c r="PIH5" s="94"/>
      <c r="PII5" s="94"/>
      <c r="PIJ5" s="94"/>
      <c r="PIK5" s="94"/>
      <c r="PIL5" s="94"/>
      <c r="PIM5" s="94"/>
      <c r="PIN5" s="94"/>
      <c r="PIO5" s="94"/>
      <c r="PIP5" s="94"/>
      <c r="PIQ5" s="94"/>
      <c r="PIR5" s="94"/>
      <c r="PIS5" s="94"/>
      <c r="PIT5" s="94"/>
      <c r="PIU5" s="94"/>
      <c r="PIV5" s="94"/>
      <c r="PIW5" s="94"/>
      <c r="PIX5" s="94"/>
      <c r="PIY5" s="94"/>
      <c r="PIZ5" s="94"/>
      <c r="PJA5" s="94"/>
      <c r="PJB5" s="94"/>
      <c r="PJC5" s="94"/>
      <c r="PJD5" s="94"/>
      <c r="PJE5" s="94"/>
      <c r="PJF5" s="94"/>
      <c r="PJG5" s="94"/>
      <c r="PJH5" s="94"/>
      <c r="PJI5" s="94"/>
      <c r="PJJ5" s="94"/>
      <c r="PJK5" s="94"/>
      <c r="PJL5" s="94"/>
      <c r="PJM5" s="94"/>
      <c r="PJN5" s="94"/>
      <c r="PJO5" s="94"/>
      <c r="PJP5" s="94"/>
      <c r="PJQ5" s="94"/>
      <c r="PJR5" s="94"/>
      <c r="PJS5" s="94"/>
      <c r="PJT5" s="94"/>
      <c r="PJU5" s="94"/>
      <c r="PJV5" s="94"/>
      <c r="PJW5" s="94"/>
      <c r="PJX5" s="94"/>
      <c r="PJY5" s="94"/>
      <c r="PJZ5" s="94"/>
      <c r="PKA5" s="94"/>
      <c r="PKB5" s="94"/>
      <c r="PKC5" s="94"/>
      <c r="PKD5" s="94"/>
      <c r="PKE5" s="94"/>
      <c r="PKF5" s="94"/>
      <c r="PKG5" s="94"/>
      <c r="PKH5" s="94"/>
      <c r="PKI5" s="94"/>
      <c r="PKJ5" s="94"/>
      <c r="PKK5" s="94"/>
      <c r="PKL5" s="94"/>
      <c r="PKM5" s="94"/>
      <c r="PKN5" s="94"/>
      <c r="PKO5" s="94"/>
      <c r="PKP5" s="94"/>
      <c r="PKQ5" s="94"/>
      <c r="PKR5" s="94"/>
      <c r="PKS5" s="94"/>
      <c r="PKT5" s="94"/>
      <c r="PKU5" s="94"/>
      <c r="PKV5" s="94"/>
      <c r="PKW5" s="94"/>
      <c r="PKX5" s="94"/>
      <c r="PKY5" s="94"/>
      <c r="PKZ5" s="94"/>
      <c r="PLA5" s="94"/>
      <c r="PLB5" s="94"/>
      <c r="PLC5" s="94"/>
      <c r="PLD5" s="94"/>
      <c r="PLE5" s="94"/>
      <c r="PLF5" s="94"/>
      <c r="PLG5" s="94"/>
      <c r="PLH5" s="94"/>
      <c r="PLI5" s="94"/>
      <c r="PLJ5" s="94"/>
      <c r="PLK5" s="94"/>
      <c r="PLL5" s="94"/>
      <c r="PLM5" s="94"/>
      <c r="PLN5" s="94"/>
      <c r="PLO5" s="94"/>
      <c r="PLP5" s="94"/>
      <c r="PLQ5" s="94"/>
      <c r="PLR5" s="94"/>
      <c r="PLS5" s="94"/>
      <c r="PLT5" s="94"/>
      <c r="PLU5" s="94"/>
      <c r="PLV5" s="94"/>
      <c r="PLW5" s="94"/>
      <c r="PLX5" s="94"/>
      <c r="PLY5" s="94"/>
      <c r="PLZ5" s="94"/>
      <c r="PMA5" s="94"/>
      <c r="PMB5" s="94"/>
      <c r="PMC5" s="94"/>
      <c r="PMD5" s="94"/>
      <c r="PME5" s="94"/>
      <c r="PMF5" s="94"/>
      <c r="PMG5" s="94"/>
      <c r="PMH5" s="94"/>
      <c r="PMI5" s="94"/>
      <c r="PMJ5" s="94"/>
      <c r="PMK5" s="94"/>
      <c r="PML5" s="94"/>
      <c r="PMM5" s="94"/>
      <c r="PMN5" s="94"/>
      <c r="PMO5" s="94"/>
      <c r="PMP5" s="94"/>
      <c r="PMQ5" s="94"/>
      <c r="PMR5" s="94"/>
      <c r="PMS5" s="94"/>
      <c r="PMT5" s="94"/>
      <c r="PMU5" s="94"/>
      <c r="PMV5" s="94"/>
      <c r="PMW5" s="94"/>
      <c r="PMX5" s="94"/>
      <c r="PMY5" s="94"/>
      <c r="PMZ5" s="94"/>
      <c r="PNA5" s="94"/>
      <c r="PNB5" s="94"/>
      <c r="PNC5" s="94"/>
      <c r="PND5" s="94"/>
      <c r="PNE5" s="94"/>
      <c r="PNF5" s="94"/>
      <c r="PNG5" s="94"/>
      <c r="PNH5" s="94"/>
      <c r="PNI5" s="94"/>
      <c r="PNJ5" s="94"/>
      <c r="PNK5" s="94"/>
      <c r="PNL5" s="94"/>
      <c r="PNM5" s="94"/>
      <c r="PNN5" s="94"/>
      <c r="PNO5" s="94"/>
      <c r="PNP5" s="94"/>
      <c r="PNQ5" s="94"/>
      <c r="PNR5" s="94"/>
      <c r="PNS5" s="94"/>
      <c r="PNT5" s="94"/>
      <c r="PNU5" s="94"/>
      <c r="PNV5" s="94"/>
      <c r="PNW5" s="94"/>
      <c r="PNX5" s="94"/>
      <c r="PNY5" s="94"/>
      <c r="PNZ5" s="94"/>
      <c r="POA5" s="94"/>
      <c r="POB5" s="94"/>
      <c r="POC5" s="94"/>
      <c r="POD5" s="94"/>
      <c r="POE5" s="94"/>
      <c r="POF5" s="94"/>
      <c r="POG5" s="94"/>
      <c r="POH5" s="94"/>
      <c r="POI5" s="94"/>
      <c r="POJ5" s="94"/>
      <c r="POK5" s="94"/>
      <c r="POL5" s="94"/>
      <c r="POM5" s="94"/>
      <c r="PON5" s="94"/>
      <c r="POO5" s="94"/>
      <c r="POP5" s="94"/>
      <c r="POQ5" s="94"/>
      <c r="POR5" s="94"/>
      <c r="POS5" s="94"/>
      <c r="POT5" s="94"/>
      <c r="POU5" s="94"/>
      <c r="POV5" s="94"/>
      <c r="POW5" s="94"/>
      <c r="POX5" s="94"/>
      <c r="POY5" s="94"/>
      <c r="POZ5" s="94"/>
      <c r="PPA5" s="94"/>
      <c r="PPB5" s="94"/>
      <c r="PPC5" s="94"/>
      <c r="PPD5" s="94"/>
      <c r="PPE5" s="94"/>
      <c r="PPF5" s="94"/>
      <c r="PPG5" s="94"/>
      <c r="PPH5" s="94"/>
      <c r="PPI5" s="94"/>
      <c r="PPJ5" s="94"/>
      <c r="PPK5" s="94"/>
      <c r="PPL5" s="94"/>
      <c r="PPM5" s="94"/>
      <c r="PPN5" s="94"/>
      <c r="PPO5" s="94"/>
      <c r="PPP5" s="94"/>
      <c r="PPQ5" s="94"/>
      <c r="PPR5" s="94"/>
      <c r="PPS5" s="94"/>
      <c r="PPT5" s="94"/>
      <c r="PPU5" s="94"/>
      <c r="PPV5" s="94"/>
      <c r="PPW5" s="94"/>
      <c r="PPX5" s="94"/>
      <c r="PPY5" s="94"/>
      <c r="PPZ5" s="94"/>
      <c r="PQA5" s="94"/>
      <c r="PQB5" s="94"/>
      <c r="PQC5" s="94"/>
      <c r="PQD5" s="94"/>
      <c r="PQE5" s="94"/>
      <c r="PQF5" s="94"/>
      <c r="PQG5" s="94"/>
      <c r="PQH5" s="94"/>
      <c r="PQI5" s="94"/>
      <c r="PQJ5" s="94"/>
      <c r="PQK5" s="94"/>
      <c r="PQL5" s="94"/>
      <c r="PQM5" s="94"/>
      <c r="PQN5" s="94"/>
      <c r="PQO5" s="94"/>
      <c r="PQP5" s="94"/>
      <c r="PQQ5" s="94"/>
      <c r="PQR5" s="94"/>
      <c r="PQS5" s="94"/>
      <c r="PQT5" s="94"/>
      <c r="PQU5" s="94"/>
      <c r="PQV5" s="94"/>
      <c r="PQW5" s="94"/>
      <c r="PQX5" s="94"/>
      <c r="PQY5" s="94"/>
      <c r="PQZ5" s="94"/>
      <c r="PRA5" s="94"/>
      <c r="PRB5" s="94"/>
      <c r="PRC5" s="94"/>
      <c r="PRD5" s="94"/>
      <c r="PRE5" s="94"/>
      <c r="PRF5" s="94"/>
      <c r="PRG5" s="94"/>
      <c r="PRH5" s="94"/>
      <c r="PRI5" s="94"/>
      <c r="PRJ5" s="94"/>
      <c r="PRK5" s="94"/>
      <c r="PRL5" s="94"/>
      <c r="PRM5" s="94"/>
      <c r="PRN5" s="94"/>
      <c r="PRO5" s="94"/>
      <c r="PRP5" s="94"/>
      <c r="PRQ5" s="94"/>
      <c r="PRR5" s="94"/>
      <c r="PRS5" s="94"/>
      <c r="PRT5" s="94"/>
      <c r="PRU5" s="94"/>
      <c r="PRV5" s="94"/>
      <c r="PRW5" s="94"/>
      <c r="PRX5" s="94"/>
      <c r="PRY5" s="94"/>
      <c r="PRZ5" s="94"/>
      <c r="PSA5" s="94"/>
      <c r="PSB5" s="94"/>
      <c r="PSC5" s="94"/>
      <c r="PSD5" s="94"/>
      <c r="PSE5" s="94"/>
      <c r="PSF5" s="94"/>
      <c r="PSG5" s="94"/>
      <c r="PSH5" s="94"/>
      <c r="PSI5" s="94"/>
      <c r="PSJ5" s="94"/>
      <c r="PSK5" s="94"/>
      <c r="PSL5" s="94"/>
      <c r="PSM5" s="94"/>
      <c r="PSN5" s="94"/>
      <c r="PSO5" s="94"/>
      <c r="PSP5" s="94"/>
      <c r="PSQ5" s="94"/>
      <c r="PSR5" s="94"/>
      <c r="PSS5" s="94"/>
      <c r="PST5" s="94"/>
      <c r="PSU5" s="94"/>
      <c r="PSV5" s="94"/>
      <c r="PSW5" s="94"/>
      <c r="PSX5" s="94"/>
      <c r="PSY5" s="94"/>
      <c r="PSZ5" s="94"/>
      <c r="PTA5" s="94"/>
      <c r="PTB5" s="94"/>
      <c r="PTC5" s="94"/>
      <c r="PTD5" s="94"/>
      <c r="PTE5" s="94"/>
      <c r="PTF5" s="94"/>
      <c r="PTG5" s="94"/>
      <c r="PTH5" s="94"/>
      <c r="PTI5" s="94"/>
      <c r="PTJ5" s="94"/>
      <c r="PTK5" s="94"/>
      <c r="PTL5" s="94"/>
      <c r="PTM5" s="94"/>
      <c r="PTN5" s="94"/>
      <c r="PTO5" s="94"/>
      <c r="PTP5" s="94"/>
      <c r="PTQ5" s="94"/>
      <c r="PTR5" s="94"/>
      <c r="PTS5" s="94"/>
      <c r="PTT5" s="94"/>
      <c r="PTU5" s="94"/>
      <c r="PTV5" s="94"/>
      <c r="PTW5" s="94"/>
      <c r="PTX5" s="94"/>
      <c r="PTY5" s="94"/>
      <c r="PTZ5" s="94"/>
      <c r="PUA5" s="94"/>
      <c r="PUB5" s="94"/>
      <c r="PUC5" s="94"/>
      <c r="PUD5" s="94"/>
      <c r="PUE5" s="94"/>
      <c r="PUF5" s="94"/>
      <c r="PUG5" s="94"/>
      <c r="PUH5" s="94"/>
      <c r="PUI5" s="94"/>
      <c r="PUJ5" s="94"/>
      <c r="PUK5" s="94"/>
      <c r="PUL5" s="94"/>
      <c r="PUM5" s="94"/>
      <c r="PUN5" s="94"/>
      <c r="PUO5" s="94"/>
      <c r="PUP5" s="94"/>
      <c r="PUQ5" s="94"/>
      <c r="PUR5" s="94"/>
      <c r="PUS5" s="94"/>
      <c r="PUT5" s="94"/>
      <c r="PUU5" s="94"/>
      <c r="PUV5" s="94"/>
      <c r="PUW5" s="94"/>
      <c r="PUX5" s="94"/>
      <c r="PUY5" s="94"/>
      <c r="PUZ5" s="94"/>
      <c r="PVA5" s="94"/>
      <c r="PVB5" s="94"/>
      <c r="PVC5" s="94"/>
      <c r="PVD5" s="94"/>
      <c r="PVE5" s="94"/>
      <c r="PVF5" s="94"/>
      <c r="PVG5" s="94"/>
      <c r="PVH5" s="94"/>
      <c r="PVI5" s="94"/>
      <c r="PVJ5" s="94"/>
      <c r="PVK5" s="94"/>
      <c r="PVL5" s="94"/>
      <c r="PVM5" s="94"/>
      <c r="PVN5" s="94"/>
      <c r="PVO5" s="94"/>
      <c r="PVP5" s="94"/>
      <c r="PVQ5" s="94"/>
      <c r="PVR5" s="94"/>
      <c r="PVS5" s="94"/>
      <c r="PVT5" s="94"/>
      <c r="PVU5" s="94"/>
      <c r="PVV5" s="94"/>
      <c r="PVW5" s="94"/>
      <c r="PVX5" s="94"/>
      <c r="PVY5" s="94"/>
      <c r="PVZ5" s="94"/>
      <c r="PWA5" s="94"/>
      <c r="PWB5" s="94"/>
      <c r="PWC5" s="94"/>
      <c r="PWD5" s="94"/>
      <c r="PWE5" s="94"/>
      <c r="PWF5" s="94"/>
      <c r="PWG5" s="94"/>
      <c r="PWH5" s="94"/>
      <c r="PWI5" s="94"/>
      <c r="PWJ5" s="94"/>
      <c r="PWK5" s="94"/>
      <c r="PWL5" s="94"/>
      <c r="PWM5" s="94"/>
      <c r="PWN5" s="94"/>
      <c r="PWO5" s="94"/>
      <c r="PWP5" s="94"/>
      <c r="PWQ5" s="94"/>
      <c r="PWR5" s="94"/>
      <c r="PWS5" s="94"/>
      <c r="PWT5" s="94"/>
      <c r="PWU5" s="94"/>
      <c r="PWV5" s="94"/>
      <c r="PWW5" s="94"/>
      <c r="PWX5" s="94"/>
      <c r="PWY5" s="94"/>
      <c r="PWZ5" s="94"/>
      <c r="PXA5" s="94"/>
      <c r="PXB5" s="94"/>
      <c r="PXC5" s="94"/>
      <c r="PXD5" s="94"/>
      <c r="PXE5" s="94"/>
      <c r="PXF5" s="94"/>
      <c r="PXG5" s="94"/>
      <c r="PXH5" s="94"/>
      <c r="PXI5" s="94"/>
      <c r="PXJ5" s="94"/>
      <c r="PXK5" s="94"/>
      <c r="PXL5" s="94"/>
      <c r="PXM5" s="94"/>
      <c r="PXN5" s="94"/>
      <c r="PXO5" s="94"/>
      <c r="PXP5" s="94"/>
      <c r="PXQ5" s="94"/>
      <c r="PXR5" s="94"/>
      <c r="PXS5" s="94"/>
      <c r="PXT5" s="94"/>
      <c r="PXU5" s="94"/>
      <c r="PXV5" s="94"/>
      <c r="PXW5" s="94"/>
      <c r="PXX5" s="94"/>
      <c r="PXY5" s="94"/>
      <c r="PXZ5" s="94"/>
      <c r="PYA5" s="94"/>
      <c r="PYB5" s="94"/>
      <c r="PYC5" s="94"/>
      <c r="PYD5" s="94"/>
      <c r="PYE5" s="94"/>
      <c r="PYF5" s="94"/>
      <c r="PYG5" s="94"/>
      <c r="PYH5" s="94"/>
      <c r="PYI5" s="94"/>
      <c r="PYJ5" s="94"/>
      <c r="PYK5" s="94"/>
      <c r="PYL5" s="94"/>
      <c r="PYM5" s="94"/>
      <c r="PYN5" s="94"/>
      <c r="PYO5" s="94"/>
      <c r="PYP5" s="94"/>
      <c r="PYQ5" s="94"/>
      <c r="PYR5" s="94"/>
      <c r="PYS5" s="94"/>
      <c r="PYT5" s="94"/>
      <c r="PYU5" s="94"/>
      <c r="PYV5" s="94"/>
      <c r="PYW5" s="94"/>
      <c r="PYX5" s="94"/>
      <c r="PYY5" s="94"/>
      <c r="PYZ5" s="94"/>
      <c r="PZA5" s="94"/>
      <c r="PZB5" s="94"/>
      <c r="PZC5" s="94"/>
      <c r="PZD5" s="94"/>
      <c r="PZE5" s="94"/>
      <c r="PZF5" s="94"/>
      <c r="PZG5" s="94"/>
      <c r="PZH5" s="94"/>
      <c r="PZI5" s="94"/>
      <c r="PZJ5" s="94"/>
      <c r="PZK5" s="94"/>
      <c r="PZL5" s="94"/>
      <c r="PZM5" s="94"/>
      <c r="PZN5" s="94"/>
      <c r="PZO5" s="94"/>
      <c r="PZP5" s="94"/>
      <c r="PZQ5" s="94"/>
      <c r="PZR5" s="94"/>
      <c r="PZS5" s="94"/>
      <c r="PZT5" s="94"/>
      <c r="PZU5" s="94"/>
      <c r="PZV5" s="94"/>
      <c r="PZW5" s="94"/>
      <c r="PZX5" s="94"/>
      <c r="PZY5" s="94"/>
      <c r="PZZ5" s="94"/>
      <c r="QAA5" s="94"/>
      <c r="QAB5" s="94"/>
      <c r="QAC5" s="94"/>
      <c r="QAD5" s="94"/>
      <c r="QAE5" s="94"/>
      <c r="QAF5" s="94"/>
      <c r="QAG5" s="94"/>
      <c r="QAH5" s="94"/>
      <c r="QAI5" s="94"/>
      <c r="QAJ5" s="94"/>
      <c r="QAK5" s="94"/>
      <c r="QAL5" s="94"/>
      <c r="QAM5" s="94"/>
      <c r="QAN5" s="94"/>
      <c r="QAO5" s="94"/>
      <c r="QAP5" s="94"/>
      <c r="QAQ5" s="94"/>
      <c r="QAR5" s="94"/>
      <c r="QAS5" s="94"/>
      <c r="QAT5" s="94"/>
      <c r="QAU5" s="94"/>
      <c r="QAV5" s="94"/>
      <c r="QAW5" s="94"/>
      <c r="QAX5" s="94"/>
      <c r="QAY5" s="94"/>
      <c r="QAZ5" s="94"/>
      <c r="QBA5" s="94"/>
      <c r="QBB5" s="94"/>
      <c r="QBC5" s="94"/>
      <c r="QBD5" s="94"/>
      <c r="QBE5" s="94"/>
      <c r="QBF5" s="94"/>
      <c r="QBG5" s="94"/>
      <c r="QBH5" s="94"/>
      <c r="QBI5" s="94"/>
      <c r="QBJ5" s="94"/>
      <c r="QBK5" s="94"/>
      <c r="QBL5" s="94"/>
      <c r="QBM5" s="94"/>
      <c r="QBN5" s="94"/>
      <c r="QBO5" s="94"/>
      <c r="QBP5" s="94"/>
      <c r="QBQ5" s="94"/>
      <c r="QBR5" s="94"/>
      <c r="QBS5" s="94"/>
      <c r="QBT5" s="94"/>
      <c r="QBU5" s="94"/>
      <c r="QBV5" s="94"/>
      <c r="QBW5" s="94"/>
      <c r="QBX5" s="94"/>
      <c r="QBY5" s="94"/>
      <c r="QBZ5" s="94"/>
      <c r="QCA5" s="94"/>
      <c r="QCB5" s="94"/>
      <c r="QCC5" s="94"/>
      <c r="QCD5" s="94"/>
      <c r="QCE5" s="94"/>
      <c r="QCF5" s="94"/>
      <c r="QCG5" s="94"/>
      <c r="QCH5" s="94"/>
      <c r="QCI5" s="94"/>
      <c r="QCJ5" s="94"/>
      <c r="QCK5" s="94"/>
      <c r="QCL5" s="94"/>
      <c r="QCM5" s="94"/>
      <c r="QCN5" s="94"/>
      <c r="QCO5" s="94"/>
      <c r="QCP5" s="94"/>
      <c r="QCQ5" s="94"/>
      <c r="QCR5" s="94"/>
      <c r="QCS5" s="94"/>
      <c r="QCT5" s="94"/>
      <c r="QCU5" s="94"/>
      <c r="QCV5" s="94"/>
      <c r="QCW5" s="94"/>
      <c r="QCX5" s="94"/>
      <c r="QCY5" s="94"/>
      <c r="QCZ5" s="94"/>
      <c r="QDA5" s="94"/>
      <c r="QDB5" s="94"/>
      <c r="QDC5" s="94"/>
      <c r="QDD5" s="94"/>
      <c r="QDE5" s="94"/>
      <c r="QDF5" s="94"/>
      <c r="QDG5" s="94"/>
      <c r="QDH5" s="94"/>
      <c r="QDI5" s="94"/>
      <c r="QDJ5" s="94"/>
      <c r="QDK5" s="94"/>
      <c r="QDL5" s="94"/>
      <c r="QDM5" s="94"/>
      <c r="QDN5" s="94"/>
      <c r="QDO5" s="94"/>
      <c r="QDP5" s="94"/>
      <c r="QDQ5" s="94"/>
      <c r="QDR5" s="94"/>
      <c r="QDS5" s="94"/>
      <c r="QDT5" s="94"/>
      <c r="QDU5" s="94"/>
      <c r="QDV5" s="94"/>
      <c r="QDW5" s="94"/>
      <c r="QDX5" s="94"/>
      <c r="QDY5" s="94"/>
      <c r="QDZ5" s="94"/>
      <c r="QEA5" s="94"/>
      <c r="QEB5" s="94"/>
      <c r="QEC5" s="94"/>
      <c r="QED5" s="94"/>
      <c r="QEE5" s="94"/>
      <c r="QEF5" s="94"/>
      <c r="QEG5" s="94"/>
      <c r="QEH5" s="94"/>
      <c r="QEI5" s="94"/>
      <c r="QEJ5" s="94"/>
      <c r="QEK5" s="94"/>
      <c r="QEL5" s="94"/>
      <c r="QEM5" s="94"/>
      <c r="QEN5" s="94"/>
      <c r="QEO5" s="94"/>
      <c r="QEP5" s="94"/>
      <c r="QEQ5" s="94"/>
      <c r="QER5" s="94"/>
      <c r="QES5" s="94"/>
      <c r="QET5" s="94"/>
      <c r="QEU5" s="94"/>
      <c r="QEV5" s="94"/>
      <c r="QEW5" s="94"/>
      <c r="QEX5" s="94"/>
      <c r="QEY5" s="94"/>
      <c r="QEZ5" s="94"/>
      <c r="QFA5" s="94"/>
      <c r="QFB5" s="94"/>
      <c r="QFC5" s="94"/>
      <c r="QFD5" s="94"/>
      <c r="QFE5" s="94"/>
      <c r="QFF5" s="94"/>
      <c r="QFG5" s="94"/>
      <c r="QFH5" s="94"/>
      <c r="QFI5" s="94"/>
      <c r="QFJ5" s="94"/>
      <c r="QFK5" s="94"/>
      <c r="QFL5" s="94"/>
      <c r="QFM5" s="94"/>
      <c r="QFN5" s="94"/>
      <c r="QFO5" s="94"/>
      <c r="QFP5" s="94"/>
      <c r="QFQ5" s="94"/>
      <c r="QFR5" s="94"/>
      <c r="QFS5" s="94"/>
      <c r="QFT5" s="94"/>
      <c r="QFU5" s="94"/>
      <c r="QFV5" s="94"/>
      <c r="QFW5" s="94"/>
      <c r="QFX5" s="94"/>
      <c r="QFY5" s="94"/>
      <c r="QFZ5" s="94"/>
      <c r="QGA5" s="94"/>
      <c r="QGB5" s="94"/>
      <c r="QGC5" s="94"/>
      <c r="QGD5" s="94"/>
      <c r="QGE5" s="94"/>
      <c r="QGF5" s="94"/>
      <c r="QGG5" s="94"/>
      <c r="QGH5" s="94"/>
      <c r="QGI5" s="94"/>
      <c r="QGJ5" s="94"/>
      <c r="QGK5" s="94"/>
      <c r="QGL5" s="94"/>
      <c r="QGM5" s="94"/>
      <c r="QGN5" s="94"/>
      <c r="QGO5" s="94"/>
      <c r="QGP5" s="94"/>
      <c r="QGQ5" s="94"/>
      <c r="QGR5" s="94"/>
      <c r="QGS5" s="94"/>
      <c r="QGT5" s="94"/>
      <c r="QGU5" s="94"/>
      <c r="QGV5" s="94"/>
      <c r="QGW5" s="94"/>
      <c r="QGX5" s="94"/>
      <c r="QGY5" s="94"/>
      <c r="QGZ5" s="94"/>
      <c r="QHA5" s="94"/>
      <c r="QHB5" s="94"/>
      <c r="QHC5" s="94"/>
      <c r="QHD5" s="94"/>
      <c r="QHE5" s="94"/>
      <c r="QHF5" s="94"/>
      <c r="QHG5" s="94"/>
      <c r="QHH5" s="94"/>
      <c r="QHI5" s="94"/>
      <c r="QHJ5" s="94"/>
      <c r="QHK5" s="94"/>
      <c r="QHL5" s="94"/>
      <c r="QHM5" s="94"/>
      <c r="QHN5" s="94"/>
      <c r="QHO5" s="94"/>
      <c r="QHP5" s="94"/>
      <c r="QHQ5" s="94"/>
      <c r="QHR5" s="94"/>
      <c r="QHS5" s="94"/>
      <c r="QHT5" s="94"/>
      <c r="QHU5" s="94"/>
      <c r="QHV5" s="94"/>
      <c r="QHW5" s="94"/>
      <c r="QHX5" s="94"/>
      <c r="QHY5" s="94"/>
      <c r="QHZ5" s="94"/>
      <c r="QIA5" s="94"/>
      <c r="QIB5" s="94"/>
      <c r="QIC5" s="94"/>
      <c r="QID5" s="94"/>
      <c r="QIE5" s="94"/>
      <c r="QIF5" s="94"/>
      <c r="QIG5" s="94"/>
      <c r="QIH5" s="94"/>
      <c r="QII5" s="94"/>
      <c r="QIJ5" s="94"/>
      <c r="QIK5" s="94"/>
      <c r="QIL5" s="94"/>
      <c r="QIM5" s="94"/>
      <c r="QIN5" s="94"/>
      <c r="QIO5" s="94"/>
      <c r="QIP5" s="94"/>
      <c r="QIQ5" s="94"/>
      <c r="QIR5" s="94"/>
      <c r="QIS5" s="94"/>
      <c r="QIT5" s="94"/>
      <c r="QIU5" s="94"/>
      <c r="QIV5" s="94"/>
      <c r="QIW5" s="94"/>
      <c r="QIX5" s="94"/>
      <c r="QIY5" s="94"/>
      <c r="QIZ5" s="94"/>
      <c r="QJA5" s="94"/>
      <c r="QJB5" s="94"/>
      <c r="QJC5" s="94"/>
      <c r="QJD5" s="94"/>
      <c r="QJE5" s="94"/>
      <c r="QJF5" s="94"/>
      <c r="QJG5" s="94"/>
      <c r="QJH5" s="94"/>
      <c r="QJI5" s="94"/>
      <c r="QJJ5" s="94"/>
      <c r="QJK5" s="94"/>
      <c r="QJL5" s="94"/>
      <c r="QJM5" s="94"/>
      <c r="QJN5" s="94"/>
      <c r="QJO5" s="94"/>
      <c r="QJP5" s="94"/>
      <c r="QJQ5" s="94"/>
      <c r="QJR5" s="94"/>
      <c r="QJS5" s="94"/>
      <c r="QJT5" s="94"/>
      <c r="QJU5" s="94"/>
      <c r="QJV5" s="94"/>
      <c r="QJW5" s="94"/>
      <c r="QJX5" s="94"/>
      <c r="QJY5" s="94"/>
      <c r="QJZ5" s="94"/>
      <c r="QKA5" s="94"/>
      <c r="QKB5" s="94"/>
      <c r="QKC5" s="94"/>
      <c r="QKD5" s="94"/>
      <c r="QKE5" s="94"/>
      <c r="QKF5" s="94"/>
      <c r="QKG5" s="94"/>
      <c r="QKH5" s="94"/>
      <c r="QKI5" s="94"/>
      <c r="QKJ5" s="94"/>
      <c r="QKK5" s="94"/>
      <c r="QKL5" s="94"/>
      <c r="QKM5" s="94"/>
      <c r="QKN5" s="94"/>
      <c r="QKO5" s="94"/>
      <c r="QKP5" s="94"/>
      <c r="QKQ5" s="94"/>
      <c r="QKR5" s="94"/>
      <c r="QKS5" s="94"/>
      <c r="QKT5" s="94"/>
      <c r="QKU5" s="94"/>
      <c r="QKV5" s="94"/>
      <c r="QKW5" s="94"/>
      <c r="QKX5" s="94"/>
      <c r="QKY5" s="94"/>
      <c r="QKZ5" s="94"/>
      <c r="QLA5" s="94"/>
      <c r="QLB5" s="94"/>
      <c r="QLC5" s="94"/>
      <c r="QLD5" s="94"/>
      <c r="QLE5" s="94"/>
      <c r="QLF5" s="94"/>
      <c r="QLG5" s="94"/>
      <c r="QLH5" s="94"/>
      <c r="QLI5" s="94"/>
      <c r="QLJ5" s="94"/>
      <c r="QLK5" s="94"/>
      <c r="QLL5" s="94"/>
      <c r="QLM5" s="94"/>
      <c r="QLN5" s="94"/>
      <c r="QLO5" s="94"/>
      <c r="QLP5" s="94"/>
      <c r="QLQ5" s="94"/>
      <c r="QLR5" s="94"/>
      <c r="QLS5" s="94"/>
      <c r="QLT5" s="94"/>
      <c r="QLU5" s="94"/>
      <c r="QLV5" s="94"/>
      <c r="QLW5" s="94"/>
      <c r="QLX5" s="94"/>
      <c r="QLY5" s="94"/>
      <c r="QLZ5" s="94"/>
      <c r="QMA5" s="94"/>
      <c r="QMB5" s="94"/>
      <c r="QMC5" s="94"/>
      <c r="QMD5" s="94"/>
      <c r="QME5" s="94"/>
      <c r="QMF5" s="94"/>
      <c r="QMG5" s="94"/>
      <c r="QMH5" s="94"/>
      <c r="QMI5" s="94"/>
      <c r="QMJ5" s="94"/>
      <c r="QMK5" s="94"/>
      <c r="QML5" s="94"/>
      <c r="QMM5" s="94"/>
      <c r="QMN5" s="94"/>
      <c r="QMO5" s="94"/>
      <c r="QMP5" s="94"/>
      <c r="QMQ5" s="94"/>
      <c r="QMR5" s="94"/>
      <c r="QMS5" s="94"/>
      <c r="QMT5" s="94"/>
      <c r="QMU5" s="94"/>
      <c r="QMV5" s="94"/>
      <c r="QMW5" s="94"/>
      <c r="QMX5" s="94"/>
      <c r="QMY5" s="94"/>
      <c r="QMZ5" s="94"/>
      <c r="QNA5" s="94"/>
      <c r="QNB5" s="94"/>
      <c r="QNC5" s="94"/>
      <c r="QND5" s="94"/>
      <c r="QNE5" s="94"/>
      <c r="QNF5" s="94"/>
      <c r="QNG5" s="94"/>
      <c r="QNH5" s="94"/>
      <c r="QNI5" s="94"/>
      <c r="QNJ5" s="94"/>
      <c r="QNK5" s="94"/>
      <c r="QNL5" s="94"/>
      <c r="QNM5" s="94"/>
      <c r="QNN5" s="94"/>
      <c r="QNO5" s="94"/>
      <c r="QNP5" s="94"/>
      <c r="QNQ5" s="94"/>
      <c r="QNR5" s="94"/>
      <c r="QNS5" s="94"/>
      <c r="QNT5" s="94"/>
      <c r="QNU5" s="94"/>
      <c r="QNV5" s="94"/>
      <c r="QNW5" s="94"/>
      <c r="QNX5" s="94"/>
      <c r="QNY5" s="94"/>
      <c r="QNZ5" s="94"/>
      <c r="QOA5" s="94"/>
      <c r="QOB5" s="94"/>
      <c r="QOC5" s="94"/>
      <c r="QOD5" s="94"/>
      <c r="QOE5" s="94"/>
      <c r="QOF5" s="94"/>
      <c r="QOG5" s="94"/>
      <c r="QOH5" s="94"/>
      <c r="QOI5" s="94"/>
      <c r="QOJ5" s="94"/>
      <c r="QOK5" s="94"/>
      <c r="QOL5" s="94"/>
      <c r="QOM5" s="94"/>
      <c r="QON5" s="94"/>
      <c r="QOO5" s="94"/>
      <c r="QOP5" s="94"/>
      <c r="QOQ5" s="94"/>
      <c r="QOR5" s="94"/>
      <c r="QOS5" s="94"/>
      <c r="QOT5" s="94"/>
      <c r="QOU5" s="94"/>
      <c r="QOV5" s="94"/>
      <c r="QOW5" s="94"/>
      <c r="QOX5" s="94"/>
      <c r="QOY5" s="94"/>
      <c r="QOZ5" s="94"/>
      <c r="QPA5" s="94"/>
      <c r="QPB5" s="94"/>
      <c r="QPC5" s="94"/>
      <c r="QPD5" s="94"/>
      <c r="QPE5" s="94"/>
      <c r="QPF5" s="94"/>
      <c r="QPG5" s="94"/>
      <c r="QPH5" s="94"/>
      <c r="QPI5" s="94"/>
      <c r="QPJ5" s="94"/>
      <c r="QPK5" s="94"/>
      <c r="QPL5" s="94"/>
      <c r="QPM5" s="94"/>
      <c r="QPN5" s="94"/>
      <c r="QPO5" s="94"/>
      <c r="QPP5" s="94"/>
      <c r="QPQ5" s="94"/>
      <c r="QPR5" s="94"/>
      <c r="QPS5" s="94"/>
      <c r="QPT5" s="94"/>
      <c r="QPU5" s="94"/>
      <c r="QPV5" s="94"/>
      <c r="QPW5" s="94"/>
      <c r="QPX5" s="94"/>
      <c r="QPY5" s="94"/>
      <c r="QPZ5" s="94"/>
      <c r="QQA5" s="94"/>
      <c r="QQB5" s="94"/>
      <c r="QQC5" s="94"/>
      <c r="QQD5" s="94"/>
      <c r="QQE5" s="94"/>
      <c r="QQF5" s="94"/>
      <c r="QQG5" s="94"/>
      <c r="QQH5" s="94"/>
      <c r="QQI5" s="94"/>
      <c r="QQJ5" s="94"/>
      <c r="QQK5" s="94"/>
      <c r="QQL5" s="94"/>
      <c r="QQM5" s="94"/>
      <c r="QQN5" s="94"/>
      <c r="QQO5" s="94"/>
      <c r="QQP5" s="94"/>
      <c r="QQQ5" s="94"/>
      <c r="QQR5" s="94"/>
      <c r="QQS5" s="94"/>
      <c r="QQT5" s="94"/>
      <c r="QQU5" s="94"/>
      <c r="QQV5" s="94"/>
      <c r="QQW5" s="94"/>
      <c r="QQX5" s="94"/>
      <c r="QQY5" s="94"/>
      <c r="QQZ5" s="94"/>
      <c r="QRA5" s="94"/>
      <c r="QRB5" s="94"/>
      <c r="QRC5" s="94"/>
      <c r="QRD5" s="94"/>
      <c r="QRE5" s="94"/>
      <c r="QRF5" s="94"/>
      <c r="QRG5" s="94"/>
      <c r="QRH5" s="94"/>
      <c r="QRI5" s="94"/>
      <c r="QRJ5" s="94"/>
      <c r="QRK5" s="94"/>
      <c r="QRL5" s="94"/>
      <c r="QRM5" s="94"/>
      <c r="QRN5" s="94"/>
      <c r="QRO5" s="94"/>
      <c r="QRP5" s="94"/>
      <c r="QRQ5" s="94"/>
      <c r="QRR5" s="94"/>
      <c r="QRS5" s="94"/>
      <c r="QRT5" s="94"/>
      <c r="QRU5" s="94"/>
      <c r="QRV5" s="94"/>
      <c r="QRW5" s="94"/>
      <c r="QRX5" s="94"/>
      <c r="QRY5" s="94"/>
      <c r="QRZ5" s="94"/>
      <c r="QSA5" s="94"/>
      <c r="QSB5" s="94"/>
      <c r="QSC5" s="94"/>
      <c r="QSD5" s="94"/>
      <c r="QSE5" s="94"/>
      <c r="QSF5" s="94"/>
      <c r="QSG5" s="94"/>
      <c r="QSH5" s="94"/>
      <c r="QSI5" s="94"/>
      <c r="QSJ5" s="94"/>
      <c r="QSK5" s="94"/>
      <c r="QSL5" s="94"/>
      <c r="QSM5" s="94"/>
      <c r="QSN5" s="94"/>
      <c r="QSO5" s="94"/>
      <c r="QSP5" s="94"/>
      <c r="QSQ5" s="94"/>
      <c r="QSR5" s="94"/>
      <c r="QSS5" s="94"/>
      <c r="QST5" s="94"/>
      <c r="QSU5" s="94"/>
      <c r="QSV5" s="94"/>
      <c r="QSW5" s="94"/>
      <c r="QSX5" s="94"/>
      <c r="QSY5" s="94"/>
      <c r="QSZ5" s="94"/>
      <c r="QTA5" s="94"/>
      <c r="QTB5" s="94"/>
      <c r="QTC5" s="94"/>
      <c r="QTD5" s="94"/>
      <c r="QTE5" s="94"/>
      <c r="QTF5" s="94"/>
      <c r="QTG5" s="94"/>
      <c r="QTH5" s="94"/>
      <c r="QTI5" s="94"/>
      <c r="QTJ5" s="94"/>
      <c r="QTK5" s="94"/>
      <c r="QTL5" s="94"/>
      <c r="QTM5" s="94"/>
      <c r="QTN5" s="94"/>
      <c r="QTO5" s="94"/>
      <c r="QTP5" s="94"/>
      <c r="QTQ5" s="94"/>
      <c r="QTR5" s="94"/>
      <c r="QTS5" s="94"/>
      <c r="QTT5" s="94"/>
      <c r="QTU5" s="94"/>
      <c r="QTV5" s="94"/>
      <c r="QTW5" s="94"/>
      <c r="QTX5" s="94"/>
      <c r="QTY5" s="94"/>
      <c r="QTZ5" s="94"/>
      <c r="QUA5" s="94"/>
      <c r="QUB5" s="94"/>
      <c r="QUC5" s="94"/>
      <c r="QUD5" s="94"/>
      <c r="QUE5" s="94"/>
      <c r="QUF5" s="94"/>
      <c r="QUG5" s="94"/>
      <c r="QUH5" s="94"/>
      <c r="QUI5" s="94"/>
      <c r="QUJ5" s="94"/>
      <c r="QUK5" s="94"/>
      <c r="QUL5" s="94"/>
      <c r="QUM5" s="94"/>
      <c r="QUN5" s="94"/>
      <c r="QUO5" s="94"/>
      <c r="QUP5" s="94"/>
      <c r="QUQ5" s="94"/>
      <c r="QUR5" s="94"/>
      <c r="QUS5" s="94"/>
      <c r="QUT5" s="94"/>
      <c r="QUU5" s="94"/>
      <c r="QUV5" s="94"/>
      <c r="QUW5" s="94"/>
      <c r="QUX5" s="94"/>
      <c r="QUY5" s="94"/>
      <c r="QUZ5" s="94"/>
      <c r="QVA5" s="94"/>
      <c r="QVB5" s="94"/>
      <c r="QVC5" s="94"/>
      <c r="QVD5" s="94"/>
      <c r="QVE5" s="94"/>
      <c r="QVF5" s="94"/>
      <c r="QVG5" s="94"/>
      <c r="QVH5" s="94"/>
      <c r="QVI5" s="94"/>
      <c r="QVJ5" s="94"/>
      <c r="QVK5" s="94"/>
      <c r="QVL5" s="94"/>
      <c r="QVM5" s="94"/>
      <c r="QVN5" s="94"/>
      <c r="QVO5" s="94"/>
      <c r="QVP5" s="94"/>
      <c r="QVQ5" s="94"/>
      <c r="QVR5" s="94"/>
      <c r="QVS5" s="94"/>
      <c r="QVT5" s="94"/>
      <c r="QVU5" s="94"/>
      <c r="QVV5" s="94"/>
      <c r="QVW5" s="94"/>
      <c r="QVX5" s="94"/>
      <c r="QVY5" s="94"/>
      <c r="QVZ5" s="94"/>
      <c r="QWA5" s="94"/>
      <c r="QWB5" s="94"/>
      <c r="QWC5" s="94"/>
      <c r="QWD5" s="94"/>
      <c r="QWE5" s="94"/>
      <c r="QWF5" s="94"/>
      <c r="QWG5" s="94"/>
      <c r="QWH5" s="94"/>
      <c r="QWI5" s="94"/>
      <c r="QWJ5" s="94"/>
      <c r="QWK5" s="94"/>
      <c r="QWL5" s="94"/>
      <c r="QWM5" s="94"/>
      <c r="QWN5" s="94"/>
      <c r="QWO5" s="94"/>
      <c r="QWP5" s="94"/>
      <c r="QWQ5" s="94"/>
      <c r="QWR5" s="94"/>
      <c r="QWS5" s="94"/>
      <c r="QWT5" s="94"/>
      <c r="QWU5" s="94"/>
      <c r="QWV5" s="94"/>
      <c r="QWW5" s="94"/>
      <c r="QWX5" s="94"/>
      <c r="QWY5" s="94"/>
      <c r="QWZ5" s="94"/>
      <c r="QXA5" s="94"/>
      <c r="QXB5" s="94"/>
      <c r="QXC5" s="94"/>
      <c r="QXD5" s="94"/>
      <c r="QXE5" s="94"/>
      <c r="QXF5" s="94"/>
      <c r="QXG5" s="94"/>
      <c r="QXH5" s="94"/>
      <c r="QXI5" s="94"/>
      <c r="QXJ5" s="94"/>
      <c r="QXK5" s="94"/>
      <c r="QXL5" s="94"/>
      <c r="QXM5" s="94"/>
      <c r="QXN5" s="94"/>
      <c r="QXO5" s="94"/>
      <c r="QXP5" s="94"/>
      <c r="QXQ5" s="94"/>
      <c r="QXR5" s="94"/>
      <c r="QXS5" s="94"/>
      <c r="QXT5" s="94"/>
      <c r="QXU5" s="94"/>
      <c r="QXV5" s="94"/>
      <c r="QXW5" s="94"/>
      <c r="QXX5" s="94"/>
      <c r="QXY5" s="94"/>
      <c r="QXZ5" s="94"/>
      <c r="QYA5" s="94"/>
      <c r="QYB5" s="94"/>
      <c r="QYC5" s="94"/>
      <c r="QYD5" s="94"/>
      <c r="QYE5" s="94"/>
      <c r="QYF5" s="94"/>
      <c r="QYG5" s="94"/>
      <c r="QYH5" s="94"/>
      <c r="QYI5" s="94"/>
      <c r="QYJ5" s="94"/>
      <c r="QYK5" s="94"/>
      <c r="QYL5" s="94"/>
      <c r="QYM5" s="94"/>
      <c r="QYN5" s="94"/>
      <c r="QYO5" s="94"/>
      <c r="QYP5" s="94"/>
      <c r="QYQ5" s="94"/>
      <c r="QYR5" s="94"/>
      <c r="QYS5" s="94"/>
      <c r="QYT5" s="94"/>
      <c r="QYU5" s="94"/>
      <c r="QYV5" s="94"/>
      <c r="QYW5" s="94"/>
      <c r="QYX5" s="94"/>
      <c r="QYY5" s="94"/>
      <c r="QYZ5" s="94"/>
      <c r="QZA5" s="94"/>
      <c r="QZB5" s="94"/>
      <c r="QZC5" s="94"/>
      <c r="QZD5" s="94"/>
      <c r="QZE5" s="94"/>
      <c r="QZF5" s="94"/>
      <c r="QZG5" s="94"/>
      <c r="QZH5" s="94"/>
      <c r="QZI5" s="94"/>
      <c r="QZJ5" s="94"/>
      <c r="QZK5" s="94"/>
      <c r="QZL5" s="94"/>
      <c r="QZM5" s="94"/>
      <c r="QZN5" s="94"/>
      <c r="QZO5" s="94"/>
      <c r="QZP5" s="94"/>
      <c r="QZQ5" s="94"/>
      <c r="QZR5" s="94"/>
      <c r="QZS5" s="94"/>
      <c r="QZT5" s="94"/>
      <c r="QZU5" s="94"/>
      <c r="QZV5" s="94"/>
      <c r="QZW5" s="94"/>
      <c r="QZX5" s="94"/>
      <c r="QZY5" s="94"/>
      <c r="QZZ5" s="94"/>
      <c r="RAA5" s="94"/>
      <c r="RAB5" s="94"/>
      <c r="RAC5" s="94"/>
      <c r="RAD5" s="94"/>
      <c r="RAE5" s="94"/>
      <c r="RAF5" s="94"/>
      <c r="RAG5" s="94"/>
      <c r="RAH5" s="94"/>
      <c r="RAI5" s="94"/>
      <c r="RAJ5" s="94"/>
      <c r="RAK5" s="94"/>
      <c r="RAL5" s="94"/>
      <c r="RAM5" s="94"/>
      <c r="RAN5" s="94"/>
      <c r="RAO5" s="94"/>
      <c r="RAP5" s="94"/>
      <c r="RAQ5" s="94"/>
      <c r="RAR5" s="94"/>
      <c r="RAS5" s="94"/>
      <c r="RAT5" s="94"/>
      <c r="RAU5" s="94"/>
      <c r="RAV5" s="94"/>
      <c r="RAW5" s="94"/>
      <c r="RAX5" s="94"/>
      <c r="RAY5" s="94"/>
      <c r="RAZ5" s="94"/>
      <c r="RBA5" s="94"/>
      <c r="RBB5" s="94"/>
      <c r="RBC5" s="94"/>
      <c r="RBD5" s="94"/>
      <c r="RBE5" s="94"/>
      <c r="RBF5" s="94"/>
      <c r="RBG5" s="94"/>
      <c r="RBH5" s="94"/>
      <c r="RBI5" s="94"/>
      <c r="RBJ5" s="94"/>
      <c r="RBK5" s="94"/>
      <c r="RBL5" s="94"/>
      <c r="RBM5" s="94"/>
      <c r="RBN5" s="94"/>
      <c r="RBO5" s="94"/>
      <c r="RBP5" s="94"/>
      <c r="RBQ5" s="94"/>
      <c r="RBR5" s="94"/>
      <c r="RBS5" s="94"/>
      <c r="RBT5" s="94"/>
      <c r="RBU5" s="94"/>
      <c r="RBV5" s="94"/>
      <c r="RBW5" s="94"/>
      <c r="RBX5" s="94"/>
      <c r="RBY5" s="94"/>
      <c r="RBZ5" s="94"/>
      <c r="RCA5" s="94"/>
      <c r="RCB5" s="94"/>
      <c r="RCC5" s="94"/>
      <c r="RCD5" s="94"/>
      <c r="RCE5" s="94"/>
      <c r="RCF5" s="94"/>
      <c r="RCG5" s="94"/>
      <c r="RCH5" s="94"/>
      <c r="RCI5" s="94"/>
      <c r="RCJ5" s="94"/>
      <c r="RCK5" s="94"/>
      <c r="RCL5" s="94"/>
      <c r="RCM5" s="94"/>
      <c r="RCN5" s="94"/>
      <c r="RCO5" s="94"/>
      <c r="RCP5" s="94"/>
      <c r="RCQ5" s="94"/>
      <c r="RCR5" s="94"/>
      <c r="RCS5" s="94"/>
      <c r="RCT5" s="94"/>
      <c r="RCU5" s="94"/>
      <c r="RCV5" s="94"/>
      <c r="RCW5" s="94"/>
      <c r="RCX5" s="94"/>
      <c r="RCY5" s="94"/>
      <c r="RCZ5" s="94"/>
      <c r="RDA5" s="94"/>
      <c r="RDB5" s="94"/>
      <c r="RDC5" s="94"/>
      <c r="RDD5" s="94"/>
      <c r="RDE5" s="94"/>
      <c r="RDF5" s="94"/>
      <c r="RDG5" s="94"/>
      <c r="RDH5" s="94"/>
      <c r="RDI5" s="94"/>
      <c r="RDJ5" s="94"/>
      <c r="RDK5" s="94"/>
      <c r="RDL5" s="94"/>
      <c r="RDM5" s="94"/>
      <c r="RDN5" s="94"/>
      <c r="RDO5" s="94"/>
      <c r="RDP5" s="94"/>
      <c r="RDQ5" s="94"/>
      <c r="RDR5" s="94"/>
      <c r="RDS5" s="94"/>
      <c r="RDT5" s="94"/>
      <c r="RDU5" s="94"/>
      <c r="RDV5" s="94"/>
      <c r="RDW5" s="94"/>
      <c r="RDX5" s="94"/>
      <c r="RDY5" s="94"/>
      <c r="RDZ5" s="94"/>
      <c r="REA5" s="94"/>
      <c r="REB5" s="94"/>
      <c r="REC5" s="94"/>
      <c r="RED5" s="94"/>
      <c r="REE5" s="94"/>
      <c r="REF5" s="94"/>
      <c r="REG5" s="94"/>
      <c r="REH5" s="94"/>
      <c r="REI5" s="94"/>
      <c r="REJ5" s="94"/>
      <c r="REK5" s="94"/>
      <c r="REL5" s="94"/>
      <c r="REM5" s="94"/>
      <c r="REN5" s="94"/>
      <c r="REO5" s="94"/>
      <c r="REP5" s="94"/>
      <c r="REQ5" s="94"/>
      <c r="RER5" s="94"/>
      <c r="RES5" s="94"/>
      <c r="RET5" s="94"/>
      <c r="REU5" s="94"/>
      <c r="REV5" s="94"/>
      <c r="REW5" s="94"/>
      <c r="REX5" s="94"/>
      <c r="REY5" s="94"/>
      <c r="REZ5" s="94"/>
      <c r="RFA5" s="94"/>
      <c r="RFB5" s="94"/>
      <c r="RFC5" s="94"/>
      <c r="RFD5" s="94"/>
      <c r="RFE5" s="94"/>
      <c r="RFF5" s="94"/>
      <c r="RFG5" s="94"/>
      <c r="RFH5" s="94"/>
      <c r="RFI5" s="94"/>
      <c r="RFJ5" s="94"/>
      <c r="RFK5" s="94"/>
      <c r="RFL5" s="94"/>
      <c r="RFM5" s="94"/>
      <c r="RFN5" s="94"/>
      <c r="RFO5" s="94"/>
      <c r="RFP5" s="94"/>
      <c r="RFQ5" s="94"/>
      <c r="RFR5" s="94"/>
      <c r="RFS5" s="94"/>
      <c r="RFT5" s="94"/>
      <c r="RFU5" s="94"/>
      <c r="RFV5" s="94"/>
      <c r="RFW5" s="94"/>
      <c r="RFX5" s="94"/>
      <c r="RFY5" s="94"/>
      <c r="RFZ5" s="94"/>
      <c r="RGA5" s="94"/>
      <c r="RGB5" s="94"/>
      <c r="RGC5" s="94"/>
      <c r="RGD5" s="94"/>
      <c r="RGE5" s="94"/>
      <c r="RGF5" s="94"/>
      <c r="RGG5" s="94"/>
      <c r="RGH5" s="94"/>
      <c r="RGI5" s="94"/>
      <c r="RGJ5" s="94"/>
      <c r="RGK5" s="94"/>
      <c r="RGL5" s="94"/>
      <c r="RGM5" s="94"/>
      <c r="RGN5" s="94"/>
      <c r="RGO5" s="94"/>
      <c r="RGP5" s="94"/>
      <c r="RGQ5" s="94"/>
      <c r="RGR5" s="94"/>
      <c r="RGS5" s="94"/>
      <c r="RGT5" s="94"/>
      <c r="RGU5" s="94"/>
      <c r="RGV5" s="94"/>
      <c r="RGW5" s="94"/>
      <c r="RGX5" s="94"/>
      <c r="RGY5" s="94"/>
      <c r="RGZ5" s="94"/>
      <c r="RHA5" s="94"/>
      <c r="RHB5" s="94"/>
      <c r="RHC5" s="94"/>
      <c r="RHD5" s="94"/>
      <c r="RHE5" s="94"/>
      <c r="RHF5" s="94"/>
      <c r="RHG5" s="94"/>
      <c r="RHH5" s="94"/>
      <c r="RHI5" s="94"/>
      <c r="RHJ5" s="94"/>
      <c r="RHK5" s="94"/>
      <c r="RHL5" s="94"/>
      <c r="RHM5" s="94"/>
      <c r="RHN5" s="94"/>
      <c r="RHO5" s="94"/>
      <c r="RHP5" s="94"/>
      <c r="RHQ5" s="94"/>
      <c r="RHR5" s="94"/>
      <c r="RHS5" s="94"/>
      <c r="RHT5" s="94"/>
      <c r="RHU5" s="94"/>
      <c r="RHV5" s="94"/>
      <c r="RHW5" s="94"/>
      <c r="RHX5" s="94"/>
      <c r="RHY5" s="94"/>
      <c r="RHZ5" s="94"/>
      <c r="RIA5" s="94"/>
      <c r="RIB5" s="94"/>
      <c r="RIC5" s="94"/>
      <c r="RID5" s="94"/>
      <c r="RIE5" s="94"/>
      <c r="RIF5" s="94"/>
      <c r="RIG5" s="94"/>
      <c r="RIH5" s="94"/>
      <c r="RII5" s="94"/>
      <c r="RIJ5" s="94"/>
      <c r="RIK5" s="94"/>
      <c r="RIL5" s="94"/>
      <c r="RIM5" s="94"/>
      <c r="RIN5" s="94"/>
      <c r="RIO5" s="94"/>
      <c r="RIP5" s="94"/>
      <c r="RIQ5" s="94"/>
      <c r="RIR5" s="94"/>
      <c r="RIS5" s="94"/>
      <c r="RIT5" s="94"/>
      <c r="RIU5" s="94"/>
      <c r="RIV5" s="94"/>
      <c r="RIW5" s="94"/>
      <c r="RIX5" s="94"/>
      <c r="RIY5" s="94"/>
      <c r="RIZ5" s="94"/>
      <c r="RJA5" s="94"/>
      <c r="RJB5" s="94"/>
      <c r="RJC5" s="94"/>
      <c r="RJD5" s="94"/>
      <c r="RJE5" s="94"/>
      <c r="RJF5" s="94"/>
      <c r="RJG5" s="94"/>
      <c r="RJH5" s="94"/>
      <c r="RJI5" s="94"/>
      <c r="RJJ5" s="94"/>
      <c r="RJK5" s="94"/>
      <c r="RJL5" s="94"/>
      <c r="RJM5" s="94"/>
      <c r="RJN5" s="94"/>
      <c r="RJO5" s="94"/>
      <c r="RJP5" s="94"/>
      <c r="RJQ5" s="94"/>
      <c r="RJR5" s="94"/>
      <c r="RJS5" s="94"/>
      <c r="RJT5" s="94"/>
      <c r="RJU5" s="94"/>
      <c r="RJV5" s="94"/>
      <c r="RJW5" s="94"/>
      <c r="RJX5" s="94"/>
      <c r="RJY5" s="94"/>
      <c r="RJZ5" s="94"/>
      <c r="RKA5" s="94"/>
      <c r="RKB5" s="94"/>
      <c r="RKC5" s="94"/>
      <c r="RKD5" s="94"/>
      <c r="RKE5" s="94"/>
      <c r="RKF5" s="94"/>
      <c r="RKG5" s="94"/>
      <c r="RKH5" s="94"/>
      <c r="RKI5" s="94"/>
      <c r="RKJ5" s="94"/>
      <c r="RKK5" s="94"/>
      <c r="RKL5" s="94"/>
      <c r="RKM5" s="94"/>
      <c r="RKN5" s="94"/>
      <c r="RKO5" s="94"/>
      <c r="RKP5" s="94"/>
      <c r="RKQ5" s="94"/>
      <c r="RKR5" s="94"/>
      <c r="RKS5" s="94"/>
      <c r="RKT5" s="94"/>
      <c r="RKU5" s="94"/>
      <c r="RKV5" s="94"/>
      <c r="RKW5" s="94"/>
      <c r="RKX5" s="94"/>
      <c r="RKY5" s="94"/>
      <c r="RKZ5" s="94"/>
      <c r="RLA5" s="94"/>
      <c r="RLB5" s="94"/>
      <c r="RLC5" s="94"/>
      <c r="RLD5" s="94"/>
      <c r="RLE5" s="94"/>
      <c r="RLF5" s="94"/>
      <c r="RLG5" s="94"/>
      <c r="RLH5" s="94"/>
      <c r="RLI5" s="94"/>
      <c r="RLJ5" s="94"/>
      <c r="RLK5" s="94"/>
      <c r="RLL5" s="94"/>
      <c r="RLM5" s="94"/>
      <c r="RLN5" s="94"/>
      <c r="RLO5" s="94"/>
      <c r="RLP5" s="94"/>
      <c r="RLQ5" s="94"/>
      <c r="RLR5" s="94"/>
      <c r="RLS5" s="94"/>
      <c r="RLT5" s="94"/>
      <c r="RLU5" s="94"/>
      <c r="RLV5" s="94"/>
      <c r="RLW5" s="94"/>
      <c r="RLX5" s="94"/>
      <c r="RLY5" s="94"/>
      <c r="RLZ5" s="94"/>
      <c r="RMA5" s="94"/>
      <c r="RMB5" s="94"/>
      <c r="RMC5" s="94"/>
      <c r="RMD5" s="94"/>
      <c r="RME5" s="94"/>
      <c r="RMF5" s="94"/>
      <c r="RMG5" s="94"/>
      <c r="RMH5" s="94"/>
      <c r="RMI5" s="94"/>
      <c r="RMJ5" s="94"/>
      <c r="RMK5" s="94"/>
      <c r="RML5" s="94"/>
      <c r="RMM5" s="94"/>
      <c r="RMN5" s="94"/>
      <c r="RMO5" s="94"/>
      <c r="RMP5" s="94"/>
      <c r="RMQ5" s="94"/>
      <c r="RMR5" s="94"/>
      <c r="RMS5" s="94"/>
      <c r="RMT5" s="94"/>
      <c r="RMU5" s="94"/>
      <c r="RMV5" s="94"/>
      <c r="RMW5" s="94"/>
      <c r="RMX5" s="94"/>
      <c r="RMY5" s="94"/>
      <c r="RMZ5" s="94"/>
      <c r="RNA5" s="94"/>
      <c r="RNB5" s="94"/>
      <c r="RNC5" s="94"/>
      <c r="RND5" s="94"/>
      <c r="RNE5" s="94"/>
      <c r="RNF5" s="94"/>
      <c r="RNG5" s="94"/>
      <c r="RNH5" s="94"/>
      <c r="RNI5" s="94"/>
      <c r="RNJ5" s="94"/>
      <c r="RNK5" s="94"/>
      <c r="RNL5" s="94"/>
      <c r="RNM5" s="94"/>
      <c r="RNN5" s="94"/>
      <c r="RNO5" s="94"/>
      <c r="RNP5" s="94"/>
      <c r="RNQ5" s="94"/>
      <c r="RNR5" s="94"/>
      <c r="RNS5" s="94"/>
      <c r="RNT5" s="94"/>
      <c r="RNU5" s="94"/>
      <c r="RNV5" s="94"/>
      <c r="RNW5" s="94"/>
      <c r="RNX5" s="94"/>
      <c r="RNY5" s="94"/>
      <c r="RNZ5" s="94"/>
      <c r="ROA5" s="94"/>
      <c r="ROB5" s="94"/>
      <c r="ROC5" s="94"/>
      <c r="ROD5" s="94"/>
      <c r="ROE5" s="94"/>
      <c r="ROF5" s="94"/>
      <c r="ROG5" s="94"/>
      <c r="ROH5" s="94"/>
      <c r="ROI5" s="94"/>
      <c r="ROJ5" s="94"/>
      <c r="ROK5" s="94"/>
      <c r="ROL5" s="94"/>
      <c r="ROM5" s="94"/>
      <c r="RON5" s="94"/>
      <c r="ROO5" s="94"/>
      <c r="ROP5" s="94"/>
      <c r="ROQ5" s="94"/>
      <c r="ROR5" s="94"/>
      <c r="ROS5" s="94"/>
      <c r="ROT5" s="94"/>
      <c r="ROU5" s="94"/>
      <c r="ROV5" s="94"/>
      <c r="ROW5" s="94"/>
      <c r="ROX5" s="94"/>
      <c r="ROY5" s="94"/>
      <c r="ROZ5" s="94"/>
      <c r="RPA5" s="94"/>
      <c r="RPB5" s="94"/>
      <c r="RPC5" s="94"/>
      <c r="RPD5" s="94"/>
      <c r="RPE5" s="94"/>
      <c r="RPF5" s="94"/>
      <c r="RPG5" s="94"/>
      <c r="RPH5" s="94"/>
      <c r="RPI5" s="94"/>
      <c r="RPJ5" s="94"/>
      <c r="RPK5" s="94"/>
      <c r="RPL5" s="94"/>
      <c r="RPM5" s="94"/>
      <c r="RPN5" s="94"/>
      <c r="RPO5" s="94"/>
      <c r="RPP5" s="94"/>
      <c r="RPQ5" s="94"/>
      <c r="RPR5" s="94"/>
      <c r="RPS5" s="94"/>
      <c r="RPT5" s="94"/>
      <c r="RPU5" s="94"/>
      <c r="RPV5" s="94"/>
      <c r="RPW5" s="94"/>
      <c r="RPX5" s="94"/>
      <c r="RPY5" s="94"/>
      <c r="RPZ5" s="94"/>
      <c r="RQA5" s="94"/>
      <c r="RQB5" s="94"/>
      <c r="RQC5" s="94"/>
      <c r="RQD5" s="94"/>
      <c r="RQE5" s="94"/>
      <c r="RQF5" s="94"/>
      <c r="RQG5" s="94"/>
      <c r="RQH5" s="94"/>
      <c r="RQI5" s="94"/>
      <c r="RQJ5" s="94"/>
      <c r="RQK5" s="94"/>
      <c r="RQL5" s="94"/>
      <c r="RQM5" s="94"/>
      <c r="RQN5" s="94"/>
      <c r="RQO5" s="94"/>
      <c r="RQP5" s="94"/>
      <c r="RQQ5" s="94"/>
      <c r="RQR5" s="94"/>
      <c r="RQS5" s="94"/>
      <c r="RQT5" s="94"/>
      <c r="RQU5" s="94"/>
      <c r="RQV5" s="94"/>
      <c r="RQW5" s="94"/>
      <c r="RQX5" s="94"/>
      <c r="RQY5" s="94"/>
      <c r="RQZ5" s="94"/>
      <c r="RRA5" s="94"/>
      <c r="RRB5" s="94"/>
      <c r="RRC5" s="94"/>
      <c r="RRD5" s="94"/>
      <c r="RRE5" s="94"/>
      <c r="RRF5" s="94"/>
      <c r="RRG5" s="94"/>
      <c r="RRH5" s="94"/>
      <c r="RRI5" s="94"/>
      <c r="RRJ5" s="94"/>
      <c r="RRK5" s="94"/>
      <c r="RRL5" s="94"/>
      <c r="RRM5" s="94"/>
      <c r="RRN5" s="94"/>
      <c r="RRO5" s="94"/>
      <c r="RRP5" s="94"/>
      <c r="RRQ5" s="94"/>
      <c r="RRR5" s="94"/>
      <c r="RRS5" s="94"/>
      <c r="RRT5" s="94"/>
      <c r="RRU5" s="94"/>
      <c r="RRV5" s="94"/>
      <c r="RRW5" s="94"/>
      <c r="RRX5" s="94"/>
      <c r="RRY5" s="94"/>
      <c r="RRZ5" s="94"/>
      <c r="RSA5" s="94"/>
      <c r="RSB5" s="94"/>
      <c r="RSC5" s="94"/>
      <c r="RSD5" s="94"/>
      <c r="RSE5" s="94"/>
      <c r="RSF5" s="94"/>
      <c r="RSG5" s="94"/>
      <c r="RSH5" s="94"/>
      <c r="RSI5" s="94"/>
      <c r="RSJ5" s="94"/>
      <c r="RSK5" s="94"/>
      <c r="RSL5" s="94"/>
      <c r="RSM5" s="94"/>
      <c r="RSN5" s="94"/>
      <c r="RSO5" s="94"/>
      <c r="RSP5" s="94"/>
      <c r="RSQ5" s="94"/>
      <c r="RSR5" s="94"/>
      <c r="RSS5" s="94"/>
      <c r="RST5" s="94"/>
      <c r="RSU5" s="94"/>
      <c r="RSV5" s="94"/>
      <c r="RSW5" s="94"/>
      <c r="RSX5" s="94"/>
      <c r="RSY5" s="94"/>
      <c r="RSZ5" s="94"/>
      <c r="RTA5" s="94"/>
      <c r="RTB5" s="94"/>
      <c r="RTC5" s="94"/>
      <c r="RTD5" s="94"/>
      <c r="RTE5" s="94"/>
      <c r="RTF5" s="94"/>
      <c r="RTG5" s="94"/>
      <c r="RTH5" s="94"/>
      <c r="RTI5" s="94"/>
      <c r="RTJ5" s="94"/>
      <c r="RTK5" s="94"/>
      <c r="RTL5" s="94"/>
      <c r="RTM5" s="94"/>
      <c r="RTN5" s="94"/>
      <c r="RTO5" s="94"/>
      <c r="RTP5" s="94"/>
      <c r="RTQ5" s="94"/>
      <c r="RTR5" s="94"/>
      <c r="RTS5" s="94"/>
      <c r="RTT5" s="94"/>
      <c r="RTU5" s="94"/>
      <c r="RTV5" s="94"/>
      <c r="RTW5" s="94"/>
      <c r="RTX5" s="94"/>
      <c r="RTY5" s="94"/>
      <c r="RTZ5" s="94"/>
      <c r="RUA5" s="94"/>
      <c r="RUB5" s="94"/>
      <c r="RUC5" s="94"/>
      <c r="RUD5" s="94"/>
      <c r="RUE5" s="94"/>
      <c r="RUF5" s="94"/>
      <c r="RUG5" s="94"/>
      <c r="RUH5" s="94"/>
      <c r="RUI5" s="94"/>
      <c r="RUJ5" s="94"/>
      <c r="RUK5" s="94"/>
      <c r="RUL5" s="94"/>
      <c r="RUM5" s="94"/>
      <c r="RUN5" s="94"/>
      <c r="RUO5" s="94"/>
      <c r="RUP5" s="94"/>
      <c r="RUQ5" s="94"/>
      <c r="RUR5" s="94"/>
      <c r="RUS5" s="94"/>
      <c r="RUT5" s="94"/>
      <c r="RUU5" s="94"/>
      <c r="RUV5" s="94"/>
      <c r="RUW5" s="94"/>
      <c r="RUX5" s="94"/>
      <c r="RUY5" s="94"/>
      <c r="RUZ5" s="94"/>
      <c r="RVA5" s="94"/>
      <c r="RVB5" s="94"/>
      <c r="RVC5" s="94"/>
      <c r="RVD5" s="94"/>
      <c r="RVE5" s="94"/>
      <c r="RVF5" s="94"/>
      <c r="RVG5" s="94"/>
      <c r="RVH5" s="94"/>
      <c r="RVI5" s="94"/>
      <c r="RVJ5" s="94"/>
      <c r="RVK5" s="94"/>
      <c r="RVL5" s="94"/>
      <c r="RVM5" s="94"/>
      <c r="RVN5" s="94"/>
      <c r="RVO5" s="94"/>
      <c r="RVP5" s="94"/>
      <c r="RVQ5" s="94"/>
      <c r="RVR5" s="94"/>
      <c r="RVS5" s="94"/>
      <c r="RVT5" s="94"/>
      <c r="RVU5" s="94"/>
      <c r="RVV5" s="94"/>
      <c r="RVW5" s="94"/>
      <c r="RVX5" s="94"/>
      <c r="RVY5" s="94"/>
      <c r="RVZ5" s="94"/>
      <c r="RWA5" s="94"/>
      <c r="RWB5" s="94"/>
      <c r="RWC5" s="94"/>
      <c r="RWD5" s="94"/>
      <c r="RWE5" s="94"/>
      <c r="RWF5" s="94"/>
      <c r="RWG5" s="94"/>
      <c r="RWH5" s="94"/>
      <c r="RWI5" s="94"/>
      <c r="RWJ5" s="94"/>
      <c r="RWK5" s="94"/>
      <c r="RWL5" s="94"/>
      <c r="RWM5" s="94"/>
      <c r="RWN5" s="94"/>
      <c r="RWO5" s="94"/>
      <c r="RWP5" s="94"/>
      <c r="RWQ5" s="94"/>
      <c r="RWR5" s="94"/>
      <c r="RWS5" s="94"/>
      <c r="RWT5" s="94"/>
      <c r="RWU5" s="94"/>
      <c r="RWV5" s="94"/>
      <c r="RWW5" s="94"/>
      <c r="RWX5" s="94"/>
      <c r="RWY5" s="94"/>
      <c r="RWZ5" s="94"/>
      <c r="RXA5" s="94"/>
      <c r="RXB5" s="94"/>
      <c r="RXC5" s="94"/>
      <c r="RXD5" s="94"/>
      <c r="RXE5" s="94"/>
      <c r="RXF5" s="94"/>
      <c r="RXG5" s="94"/>
      <c r="RXH5" s="94"/>
      <c r="RXI5" s="94"/>
      <c r="RXJ5" s="94"/>
      <c r="RXK5" s="94"/>
      <c r="RXL5" s="94"/>
      <c r="RXM5" s="94"/>
      <c r="RXN5" s="94"/>
      <c r="RXO5" s="94"/>
      <c r="RXP5" s="94"/>
      <c r="RXQ5" s="94"/>
      <c r="RXR5" s="94"/>
      <c r="RXS5" s="94"/>
      <c r="RXT5" s="94"/>
      <c r="RXU5" s="94"/>
      <c r="RXV5" s="94"/>
      <c r="RXW5" s="94"/>
      <c r="RXX5" s="94"/>
      <c r="RXY5" s="94"/>
      <c r="RXZ5" s="94"/>
      <c r="RYA5" s="94"/>
      <c r="RYB5" s="94"/>
      <c r="RYC5" s="94"/>
      <c r="RYD5" s="94"/>
      <c r="RYE5" s="94"/>
      <c r="RYF5" s="94"/>
      <c r="RYG5" s="94"/>
      <c r="RYH5" s="94"/>
      <c r="RYI5" s="94"/>
      <c r="RYJ5" s="94"/>
      <c r="RYK5" s="94"/>
      <c r="RYL5" s="94"/>
      <c r="RYM5" s="94"/>
      <c r="RYN5" s="94"/>
      <c r="RYO5" s="94"/>
      <c r="RYP5" s="94"/>
      <c r="RYQ5" s="94"/>
      <c r="RYR5" s="94"/>
      <c r="RYS5" s="94"/>
      <c r="RYT5" s="94"/>
      <c r="RYU5" s="94"/>
      <c r="RYV5" s="94"/>
      <c r="RYW5" s="94"/>
      <c r="RYX5" s="94"/>
      <c r="RYY5" s="94"/>
      <c r="RYZ5" s="94"/>
      <c r="RZA5" s="94"/>
      <c r="RZB5" s="94"/>
      <c r="RZC5" s="94"/>
      <c r="RZD5" s="94"/>
      <c r="RZE5" s="94"/>
      <c r="RZF5" s="94"/>
      <c r="RZG5" s="94"/>
      <c r="RZH5" s="94"/>
      <c r="RZI5" s="94"/>
      <c r="RZJ5" s="94"/>
      <c r="RZK5" s="94"/>
      <c r="RZL5" s="94"/>
      <c r="RZM5" s="94"/>
      <c r="RZN5" s="94"/>
      <c r="RZO5" s="94"/>
      <c r="RZP5" s="94"/>
      <c r="RZQ5" s="94"/>
      <c r="RZR5" s="94"/>
      <c r="RZS5" s="94"/>
      <c r="RZT5" s="94"/>
      <c r="RZU5" s="94"/>
      <c r="RZV5" s="94"/>
      <c r="RZW5" s="94"/>
      <c r="RZX5" s="94"/>
      <c r="RZY5" s="94"/>
      <c r="RZZ5" s="94"/>
      <c r="SAA5" s="94"/>
      <c r="SAB5" s="94"/>
      <c r="SAC5" s="94"/>
      <c r="SAD5" s="94"/>
      <c r="SAE5" s="94"/>
      <c r="SAF5" s="94"/>
      <c r="SAG5" s="94"/>
      <c r="SAH5" s="94"/>
      <c r="SAI5" s="94"/>
      <c r="SAJ5" s="94"/>
      <c r="SAK5" s="94"/>
      <c r="SAL5" s="94"/>
      <c r="SAM5" s="94"/>
      <c r="SAN5" s="94"/>
      <c r="SAO5" s="94"/>
      <c r="SAP5" s="94"/>
      <c r="SAQ5" s="94"/>
      <c r="SAR5" s="94"/>
      <c r="SAS5" s="94"/>
      <c r="SAT5" s="94"/>
      <c r="SAU5" s="94"/>
      <c r="SAV5" s="94"/>
      <c r="SAW5" s="94"/>
      <c r="SAX5" s="94"/>
      <c r="SAY5" s="94"/>
      <c r="SAZ5" s="94"/>
      <c r="SBA5" s="94"/>
      <c r="SBB5" s="94"/>
      <c r="SBC5" s="94"/>
      <c r="SBD5" s="94"/>
      <c r="SBE5" s="94"/>
      <c r="SBF5" s="94"/>
      <c r="SBG5" s="94"/>
      <c r="SBH5" s="94"/>
      <c r="SBI5" s="94"/>
      <c r="SBJ5" s="94"/>
      <c r="SBK5" s="94"/>
      <c r="SBL5" s="94"/>
      <c r="SBM5" s="94"/>
      <c r="SBN5" s="94"/>
      <c r="SBO5" s="94"/>
      <c r="SBP5" s="94"/>
      <c r="SBQ5" s="94"/>
      <c r="SBR5" s="94"/>
      <c r="SBS5" s="94"/>
      <c r="SBT5" s="94"/>
      <c r="SBU5" s="94"/>
      <c r="SBV5" s="94"/>
      <c r="SBW5" s="94"/>
      <c r="SBX5" s="94"/>
      <c r="SBY5" s="94"/>
      <c r="SBZ5" s="94"/>
      <c r="SCA5" s="94"/>
      <c r="SCB5" s="94"/>
      <c r="SCC5" s="94"/>
      <c r="SCD5" s="94"/>
      <c r="SCE5" s="94"/>
      <c r="SCF5" s="94"/>
      <c r="SCG5" s="94"/>
      <c r="SCH5" s="94"/>
      <c r="SCI5" s="94"/>
      <c r="SCJ5" s="94"/>
      <c r="SCK5" s="94"/>
      <c r="SCL5" s="94"/>
      <c r="SCM5" s="94"/>
      <c r="SCN5" s="94"/>
      <c r="SCO5" s="94"/>
      <c r="SCP5" s="94"/>
      <c r="SCQ5" s="94"/>
      <c r="SCR5" s="94"/>
      <c r="SCS5" s="94"/>
      <c r="SCT5" s="94"/>
      <c r="SCU5" s="94"/>
      <c r="SCV5" s="94"/>
      <c r="SCW5" s="94"/>
      <c r="SCX5" s="94"/>
      <c r="SCY5" s="94"/>
      <c r="SCZ5" s="94"/>
      <c r="SDA5" s="94"/>
      <c r="SDB5" s="94"/>
      <c r="SDC5" s="94"/>
      <c r="SDD5" s="94"/>
      <c r="SDE5" s="94"/>
      <c r="SDF5" s="94"/>
      <c r="SDG5" s="94"/>
      <c r="SDH5" s="94"/>
      <c r="SDI5" s="94"/>
      <c r="SDJ5" s="94"/>
      <c r="SDK5" s="94"/>
      <c r="SDL5" s="94"/>
      <c r="SDM5" s="94"/>
      <c r="SDN5" s="94"/>
      <c r="SDO5" s="94"/>
      <c r="SDP5" s="94"/>
      <c r="SDQ5" s="94"/>
      <c r="SDR5" s="94"/>
      <c r="SDS5" s="94"/>
      <c r="SDT5" s="94"/>
      <c r="SDU5" s="94"/>
      <c r="SDV5" s="94"/>
      <c r="SDW5" s="94"/>
      <c r="SDX5" s="94"/>
      <c r="SDY5" s="94"/>
      <c r="SDZ5" s="94"/>
      <c r="SEA5" s="94"/>
      <c r="SEB5" s="94"/>
      <c r="SEC5" s="94"/>
      <c r="SED5" s="94"/>
      <c r="SEE5" s="94"/>
      <c r="SEF5" s="94"/>
      <c r="SEG5" s="94"/>
      <c r="SEH5" s="94"/>
      <c r="SEI5" s="94"/>
      <c r="SEJ5" s="94"/>
      <c r="SEK5" s="94"/>
      <c r="SEL5" s="94"/>
      <c r="SEM5" s="94"/>
      <c r="SEN5" s="94"/>
      <c r="SEO5" s="94"/>
      <c r="SEP5" s="94"/>
      <c r="SEQ5" s="94"/>
      <c r="SER5" s="94"/>
      <c r="SES5" s="94"/>
      <c r="SET5" s="94"/>
      <c r="SEU5" s="94"/>
      <c r="SEV5" s="94"/>
      <c r="SEW5" s="94"/>
      <c r="SEX5" s="94"/>
      <c r="SEY5" s="94"/>
      <c r="SEZ5" s="94"/>
      <c r="SFA5" s="94"/>
      <c r="SFB5" s="94"/>
      <c r="SFC5" s="94"/>
      <c r="SFD5" s="94"/>
      <c r="SFE5" s="94"/>
      <c r="SFF5" s="94"/>
      <c r="SFG5" s="94"/>
      <c r="SFH5" s="94"/>
      <c r="SFI5" s="94"/>
      <c r="SFJ5" s="94"/>
      <c r="SFK5" s="94"/>
      <c r="SFL5" s="94"/>
      <c r="SFM5" s="94"/>
      <c r="SFN5" s="94"/>
      <c r="SFO5" s="94"/>
      <c r="SFP5" s="94"/>
      <c r="SFQ5" s="94"/>
      <c r="SFR5" s="94"/>
      <c r="SFS5" s="94"/>
      <c r="SFT5" s="94"/>
      <c r="SFU5" s="94"/>
      <c r="SFV5" s="94"/>
      <c r="SFW5" s="94"/>
      <c r="SFX5" s="94"/>
      <c r="SFY5" s="94"/>
      <c r="SFZ5" s="94"/>
      <c r="SGA5" s="94"/>
      <c r="SGB5" s="94"/>
      <c r="SGC5" s="94"/>
      <c r="SGD5" s="94"/>
      <c r="SGE5" s="94"/>
      <c r="SGF5" s="94"/>
      <c r="SGG5" s="94"/>
      <c r="SGH5" s="94"/>
      <c r="SGI5" s="94"/>
      <c r="SGJ5" s="94"/>
      <c r="SGK5" s="94"/>
      <c r="SGL5" s="94"/>
      <c r="SGM5" s="94"/>
      <c r="SGN5" s="94"/>
      <c r="SGO5" s="94"/>
      <c r="SGP5" s="94"/>
      <c r="SGQ5" s="94"/>
      <c r="SGR5" s="94"/>
      <c r="SGS5" s="94"/>
      <c r="SGT5" s="94"/>
      <c r="SGU5" s="94"/>
      <c r="SGV5" s="94"/>
      <c r="SGW5" s="94"/>
      <c r="SGX5" s="94"/>
      <c r="SGY5" s="94"/>
      <c r="SGZ5" s="94"/>
      <c r="SHA5" s="94"/>
      <c r="SHB5" s="94"/>
      <c r="SHC5" s="94"/>
      <c r="SHD5" s="94"/>
      <c r="SHE5" s="94"/>
      <c r="SHF5" s="94"/>
      <c r="SHG5" s="94"/>
      <c r="SHH5" s="94"/>
      <c r="SHI5" s="94"/>
      <c r="SHJ5" s="94"/>
      <c r="SHK5" s="94"/>
      <c r="SHL5" s="94"/>
      <c r="SHM5" s="94"/>
      <c r="SHN5" s="94"/>
      <c r="SHO5" s="94"/>
      <c r="SHP5" s="94"/>
      <c r="SHQ5" s="94"/>
      <c r="SHR5" s="94"/>
      <c r="SHS5" s="94"/>
      <c r="SHT5" s="94"/>
      <c r="SHU5" s="94"/>
      <c r="SHV5" s="94"/>
      <c r="SHW5" s="94"/>
      <c r="SHX5" s="94"/>
      <c r="SHY5" s="94"/>
      <c r="SHZ5" s="94"/>
      <c r="SIA5" s="94"/>
      <c r="SIB5" s="94"/>
      <c r="SIC5" s="94"/>
      <c r="SID5" s="94"/>
      <c r="SIE5" s="94"/>
      <c r="SIF5" s="94"/>
      <c r="SIG5" s="94"/>
      <c r="SIH5" s="94"/>
      <c r="SII5" s="94"/>
      <c r="SIJ5" s="94"/>
      <c r="SIK5" s="94"/>
      <c r="SIL5" s="94"/>
      <c r="SIM5" s="94"/>
      <c r="SIN5" s="94"/>
      <c r="SIO5" s="94"/>
      <c r="SIP5" s="94"/>
      <c r="SIQ5" s="94"/>
      <c r="SIR5" s="94"/>
      <c r="SIS5" s="94"/>
      <c r="SIT5" s="94"/>
      <c r="SIU5" s="94"/>
      <c r="SIV5" s="94"/>
      <c r="SIW5" s="94"/>
      <c r="SIX5" s="94"/>
      <c r="SIY5" s="94"/>
      <c r="SIZ5" s="94"/>
      <c r="SJA5" s="94"/>
      <c r="SJB5" s="94"/>
      <c r="SJC5" s="94"/>
      <c r="SJD5" s="94"/>
      <c r="SJE5" s="94"/>
      <c r="SJF5" s="94"/>
      <c r="SJG5" s="94"/>
      <c r="SJH5" s="94"/>
      <c r="SJI5" s="94"/>
      <c r="SJJ5" s="94"/>
      <c r="SJK5" s="94"/>
      <c r="SJL5" s="94"/>
      <c r="SJM5" s="94"/>
      <c r="SJN5" s="94"/>
      <c r="SJO5" s="94"/>
      <c r="SJP5" s="94"/>
      <c r="SJQ5" s="94"/>
      <c r="SJR5" s="94"/>
      <c r="SJS5" s="94"/>
      <c r="SJT5" s="94"/>
      <c r="SJU5" s="94"/>
      <c r="SJV5" s="94"/>
      <c r="SJW5" s="94"/>
      <c r="SJX5" s="94"/>
      <c r="SJY5" s="94"/>
      <c r="SJZ5" s="94"/>
      <c r="SKA5" s="94"/>
      <c r="SKB5" s="94"/>
      <c r="SKC5" s="94"/>
      <c r="SKD5" s="94"/>
      <c r="SKE5" s="94"/>
      <c r="SKF5" s="94"/>
      <c r="SKG5" s="94"/>
      <c r="SKH5" s="94"/>
      <c r="SKI5" s="94"/>
      <c r="SKJ5" s="94"/>
      <c r="SKK5" s="94"/>
      <c r="SKL5" s="94"/>
      <c r="SKM5" s="94"/>
      <c r="SKN5" s="94"/>
      <c r="SKO5" s="94"/>
      <c r="SKP5" s="94"/>
      <c r="SKQ5" s="94"/>
      <c r="SKR5" s="94"/>
      <c r="SKS5" s="94"/>
      <c r="SKT5" s="94"/>
      <c r="SKU5" s="94"/>
      <c r="SKV5" s="94"/>
      <c r="SKW5" s="94"/>
      <c r="SKX5" s="94"/>
      <c r="SKY5" s="94"/>
      <c r="SKZ5" s="94"/>
      <c r="SLA5" s="94"/>
      <c r="SLB5" s="94"/>
      <c r="SLC5" s="94"/>
      <c r="SLD5" s="94"/>
      <c r="SLE5" s="94"/>
      <c r="SLF5" s="94"/>
      <c r="SLG5" s="94"/>
      <c r="SLH5" s="94"/>
      <c r="SLI5" s="94"/>
      <c r="SLJ5" s="94"/>
      <c r="SLK5" s="94"/>
      <c r="SLL5" s="94"/>
      <c r="SLM5" s="94"/>
      <c r="SLN5" s="94"/>
      <c r="SLO5" s="94"/>
      <c r="SLP5" s="94"/>
      <c r="SLQ5" s="94"/>
      <c r="SLR5" s="94"/>
      <c r="SLS5" s="94"/>
      <c r="SLT5" s="94"/>
      <c r="SLU5" s="94"/>
      <c r="SLV5" s="94"/>
      <c r="SLW5" s="94"/>
      <c r="SLX5" s="94"/>
      <c r="SLY5" s="94"/>
      <c r="SLZ5" s="94"/>
      <c r="SMA5" s="94"/>
      <c r="SMB5" s="94"/>
      <c r="SMC5" s="94"/>
      <c r="SMD5" s="94"/>
      <c r="SME5" s="94"/>
      <c r="SMF5" s="94"/>
      <c r="SMG5" s="94"/>
      <c r="SMH5" s="94"/>
      <c r="SMI5" s="94"/>
      <c r="SMJ5" s="94"/>
      <c r="SMK5" s="94"/>
      <c r="SML5" s="94"/>
      <c r="SMM5" s="94"/>
      <c r="SMN5" s="94"/>
      <c r="SMO5" s="94"/>
      <c r="SMP5" s="94"/>
      <c r="SMQ5" s="94"/>
      <c r="SMR5" s="94"/>
      <c r="SMS5" s="94"/>
      <c r="SMT5" s="94"/>
      <c r="SMU5" s="94"/>
      <c r="SMV5" s="94"/>
      <c r="SMW5" s="94"/>
      <c r="SMX5" s="94"/>
      <c r="SMY5" s="94"/>
      <c r="SMZ5" s="94"/>
      <c r="SNA5" s="94"/>
      <c r="SNB5" s="94"/>
      <c r="SNC5" s="94"/>
      <c r="SND5" s="94"/>
      <c r="SNE5" s="94"/>
      <c r="SNF5" s="94"/>
      <c r="SNG5" s="94"/>
      <c r="SNH5" s="94"/>
      <c r="SNI5" s="94"/>
      <c r="SNJ5" s="94"/>
      <c r="SNK5" s="94"/>
      <c r="SNL5" s="94"/>
      <c r="SNM5" s="94"/>
      <c r="SNN5" s="94"/>
      <c r="SNO5" s="94"/>
      <c r="SNP5" s="94"/>
      <c r="SNQ5" s="94"/>
      <c r="SNR5" s="94"/>
      <c r="SNS5" s="94"/>
      <c r="SNT5" s="94"/>
      <c r="SNU5" s="94"/>
      <c r="SNV5" s="94"/>
      <c r="SNW5" s="94"/>
      <c r="SNX5" s="94"/>
      <c r="SNY5" s="94"/>
      <c r="SNZ5" s="94"/>
      <c r="SOA5" s="94"/>
      <c r="SOB5" s="94"/>
      <c r="SOC5" s="94"/>
      <c r="SOD5" s="94"/>
      <c r="SOE5" s="94"/>
      <c r="SOF5" s="94"/>
      <c r="SOG5" s="94"/>
      <c r="SOH5" s="94"/>
      <c r="SOI5" s="94"/>
      <c r="SOJ5" s="94"/>
      <c r="SOK5" s="94"/>
      <c r="SOL5" s="94"/>
      <c r="SOM5" s="94"/>
      <c r="SON5" s="94"/>
      <c r="SOO5" s="94"/>
      <c r="SOP5" s="94"/>
      <c r="SOQ5" s="94"/>
      <c r="SOR5" s="94"/>
      <c r="SOS5" s="94"/>
      <c r="SOT5" s="94"/>
      <c r="SOU5" s="94"/>
      <c r="SOV5" s="94"/>
      <c r="SOW5" s="94"/>
      <c r="SOX5" s="94"/>
      <c r="SOY5" s="94"/>
      <c r="SOZ5" s="94"/>
      <c r="SPA5" s="94"/>
      <c r="SPB5" s="94"/>
      <c r="SPC5" s="94"/>
      <c r="SPD5" s="94"/>
      <c r="SPE5" s="94"/>
      <c r="SPF5" s="94"/>
      <c r="SPG5" s="94"/>
      <c r="SPH5" s="94"/>
      <c r="SPI5" s="94"/>
      <c r="SPJ5" s="94"/>
      <c r="SPK5" s="94"/>
      <c r="SPL5" s="94"/>
      <c r="SPM5" s="94"/>
      <c r="SPN5" s="94"/>
      <c r="SPO5" s="94"/>
      <c r="SPP5" s="94"/>
      <c r="SPQ5" s="94"/>
      <c r="SPR5" s="94"/>
      <c r="SPS5" s="94"/>
      <c r="SPT5" s="94"/>
      <c r="SPU5" s="94"/>
      <c r="SPV5" s="94"/>
      <c r="SPW5" s="94"/>
      <c r="SPX5" s="94"/>
      <c r="SPY5" s="94"/>
      <c r="SPZ5" s="94"/>
      <c r="SQA5" s="94"/>
      <c r="SQB5" s="94"/>
      <c r="SQC5" s="94"/>
      <c r="SQD5" s="94"/>
      <c r="SQE5" s="94"/>
      <c r="SQF5" s="94"/>
      <c r="SQG5" s="94"/>
      <c r="SQH5" s="94"/>
      <c r="SQI5" s="94"/>
      <c r="SQJ5" s="94"/>
      <c r="SQK5" s="94"/>
      <c r="SQL5" s="94"/>
      <c r="SQM5" s="94"/>
      <c r="SQN5" s="94"/>
      <c r="SQO5" s="94"/>
      <c r="SQP5" s="94"/>
      <c r="SQQ5" s="94"/>
      <c r="SQR5" s="94"/>
      <c r="SQS5" s="94"/>
      <c r="SQT5" s="94"/>
      <c r="SQU5" s="94"/>
      <c r="SQV5" s="94"/>
      <c r="SQW5" s="94"/>
      <c r="SQX5" s="94"/>
      <c r="SQY5" s="94"/>
      <c r="SQZ5" s="94"/>
      <c r="SRA5" s="94"/>
      <c r="SRB5" s="94"/>
      <c r="SRC5" s="94"/>
      <c r="SRD5" s="94"/>
      <c r="SRE5" s="94"/>
      <c r="SRF5" s="94"/>
      <c r="SRG5" s="94"/>
      <c r="SRH5" s="94"/>
      <c r="SRI5" s="94"/>
      <c r="SRJ5" s="94"/>
      <c r="SRK5" s="94"/>
      <c r="SRL5" s="94"/>
      <c r="SRM5" s="94"/>
      <c r="SRN5" s="94"/>
      <c r="SRO5" s="94"/>
      <c r="SRP5" s="94"/>
      <c r="SRQ5" s="94"/>
      <c r="SRR5" s="94"/>
      <c r="SRS5" s="94"/>
      <c r="SRT5" s="94"/>
      <c r="SRU5" s="94"/>
      <c r="SRV5" s="94"/>
      <c r="SRW5" s="94"/>
      <c r="SRX5" s="94"/>
      <c r="SRY5" s="94"/>
      <c r="SRZ5" s="94"/>
      <c r="SSA5" s="94"/>
      <c r="SSB5" s="94"/>
      <c r="SSC5" s="94"/>
      <c r="SSD5" s="94"/>
      <c r="SSE5" s="94"/>
      <c r="SSF5" s="94"/>
      <c r="SSG5" s="94"/>
      <c r="SSH5" s="94"/>
      <c r="SSI5" s="94"/>
      <c r="SSJ5" s="94"/>
      <c r="SSK5" s="94"/>
      <c r="SSL5" s="94"/>
      <c r="SSM5" s="94"/>
      <c r="SSN5" s="94"/>
      <c r="SSO5" s="94"/>
      <c r="SSP5" s="94"/>
      <c r="SSQ5" s="94"/>
      <c r="SSR5" s="94"/>
      <c r="SSS5" s="94"/>
      <c r="SST5" s="94"/>
      <c r="SSU5" s="94"/>
      <c r="SSV5" s="94"/>
      <c r="SSW5" s="94"/>
      <c r="SSX5" s="94"/>
      <c r="SSY5" s="94"/>
      <c r="SSZ5" s="94"/>
      <c r="STA5" s="94"/>
      <c r="STB5" s="94"/>
      <c r="STC5" s="94"/>
      <c r="STD5" s="94"/>
      <c r="STE5" s="94"/>
      <c r="STF5" s="94"/>
      <c r="STG5" s="94"/>
      <c r="STH5" s="94"/>
      <c r="STI5" s="94"/>
      <c r="STJ5" s="94"/>
      <c r="STK5" s="94"/>
      <c r="STL5" s="94"/>
      <c r="STM5" s="94"/>
      <c r="STN5" s="94"/>
      <c r="STO5" s="94"/>
      <c r="STP5" s="94"/>
      <c r="STQ5" s="94"/>
      <c r="STR5" s="94"/>
      <c r="STS5" s="94"/>
      <c r="STT5" s="94"/>
      <c r="STU5" s="94"/>
      <c r="STV5" s="94"/>
      <c r="STW5" s="94"/>
      <c r="STX5" s="94"/>
      <c r="STY5" s="94"/>
      <c r="STZ5" s="94"/>
      <c r="SUA5" s="94"/>
      <c r="SUB5" s="94"/>
      <c r="SUC5" s="94"/>
      <c r="SUD5" s="94"/>
      <c r="SUE5" s="94"/>
      <c r="SUF5" s="94"/>
      <c r="SUG5" s="94"/>
      <c r="SUH5" s="94"/>
      <c r="SUI5" s="94"/>
      <c r="SUJ5" s="94"/>
      <c r="SUK5" s="94"/>
      <c r="SUL5" s="94"/>
      <c r="SUM5" s="94"/>
      <c r="SUN5" s="94"/>
      <c r="SUO5" s="94"/>
      <c r="SUP5" s="94"/>
      <c r="SUQ5" s="94"/>
      <c r="SUR5" s="94"/>
      <c r="SUS5" s="94"/>
      <c r="SUT5" s="94"/>
      <c r="SUU5" s="94"/>
      <c r="SUV5" s="94"/>
      <c r="SUW5" s="94"/>
      <c r="SUX5" s="94"/>
      <c r="SUY5" s="94"/>
      <c r="SUZ5" s="94"/>
      <c r="SVA5" s="94"/>
      <c r="SVB5" s="94"/>
      <c r="SVC5" s="94"/>
      <c r="SVD5" s="94"/>
      <c r="SVE5" s="94"/>
      <c r="SVF5" s="94"/>
      <c r="SVG5" s="94"/>
      <c r="SVH5" s="94"/>
      <c r="SVI5" s="94"/>
      <c r="SVJ5" s="94"/>
      <c r="SVK5" s="94"/>
      <c r="SVL5" s="94"/>
      <c r="SVM5" s="94"/>
      <c r="SVN5" s="94"/>
      <c r="SVO5" s="94"/>
      <c r="SVP5" s="94"/>
      <c r="SVQ5" s="94"/>
      <c r="SVR5" s="94"/>
      <c r="SVS5" s="94"/>
      <c r="SVT5" s="94"/>
      <c r="SVU5" s="94"/>
      <c r="SVV5" s="94"/>
      <c r="SVW5" s="94"/>
      <c r="SVX5" s="94"/>
      <c r="SVY5" s="94"/>
      <c r="SVZ5" s="94"/>
      <c r="SWA5" s="94"/>
      <c r="SWB5" s="94"/>
      <c r="SWC5" s="94"/>
      <c r="SWD5" s="94"/>
      <c r="SWE5" s="94"/>
      <c r="SWF5" s="94"/>
      <c r="SWG5" s="94"/>
      <c r="SWH5" s="94"/>
      <c r="SWI5" s="94"/>
      <c r="SWJ5" s="94"/>
      <c r="SWK5" s="94"/>
      <c r="SWL5" s="94"/>
      <c r="SWM5" s="94"/>
      <c r="SWN5" s="94"/>
      <c r="SWO5" s="94"/>
      <c r="SWP5" s="94"/>
      <c r="SWQ5" s="94"/>
      <c r="SWR5" s="94"/>
      <c r="SWS5" s="94"/>
      <c r="SWT5" s="94"/>
      <c r="SWU5" s="94"/>
      <c r="SWV5" s="94"/>
      <c r="SWW5" s="94"/>
      <c r="SWX5" s="94"/>
      <c r="SWY5" s="94"/>
      <c r="SWZ5" s="94"/>
      <c r="SXA5" s="94"/>
      <c r="SXB5" s="94"/>
      <c r="SXC5" s="94"/>
      <c r="SXD5" s="94"/>
      <c r="SXE5" s="94"/>
      <c r="SXF5" s="94"/>
      <c r="SXG5" s="94"/>
      <c r="SXH5" s="94"/>
      <c r="SXI5" s="94"/>
      <c r="SXJ5" s="94"/>
      <c r="SXK5" s="94"/>
      <c r="SXL5" s="94"/>
      <c r="SXM5" s="94"/>
      <c r="SXN5" s="94"/>
      <c r="SXO5" s="94"/>
      <c r="SXP5" s="94"/>
      <c r="SXQ5" s="94"/>
      <c r="SXR5" s="94"/>
      <c r="SXS5" s="94"/>
      <c r="SXT5" s="94"/>
      <c r="SXU5" s="94"/>
      <c r="SXV5" s="94"/>
      <c r="SXW5" s="94"/>
      <c r="SXX5" s="94"/>
      <c r="SXY5" s="94"/>
      <c r="SXZ5" s="94"/>
      <c r="SYA5" s="94"/>
      <c r="SYB5" s="94"/>
      <c r="SYC5" s="94"/>
      <c r="SYD5" s="94"/>
      <c r="SYE5" s="94"/>
      <c r="SYF5" s="94"/>
      <c r="SYG5" s="94"/>
      <c r="SYH5" s="94"/>
      <c r="SYI5" s="94"/>
      <c r="SYJ5" s="94"/>
      <c r="SYK5" s="94"/>
      <c r="SYL5" s="94"/>
      <c r="SYM5" s="94"/>
      <c r="SYN5" s="94"/>
      <c r="SYO5" s="94"/>
      <c r="SYP5" s="94"/>
      <c r="SYQ5" s="94"/>
      <c r="SYR5" s="94"/>
      <c r="SYS5" s="94"/>
      <c r="SYT5" s="94"/>
      <c r="SYU5" s="94"/>
      <c r="SYV5" s="94"/>
      <c r="SYW5" s="94"/>
      <c r="SYX5" s="94"/>
      <c r="SYY5" s="94"/>
      <c r="SYZ5" s="94"/>
      <c r="SZA5" s="94"/>
      <c r="SZB5" s="94"/>
      <c r="SZC5" s="94"/>
      <c r="SZD5" s="94"/>
      <c r="SZE5" s="94"/>
      <c r="SZF5" s="94"/>
      <c r="SZG5" s="94"/>
      <c r="SZH5" s="94"/>
      <c r="SZI5" s="94"/>
      <c r="SZJ5" s="94"/>
      <c r="SZK5" s="94"/>
      <c r="SZL5" s="94"/>
      <c r="SZM5" s="94"/>
      <c r="SZN5" s="94"/>
      <c r="SZO5" s="94"/>
      <c r="SZP5" s="94"/>
      <c r="SZQ5" s="94"/>
      <c r="SZR5" s="94"/>
      <c r="SZS5" s="94"/>
      <c r="SZT5" s="94"/>
      <c r="SZU5" s="94"/>
      <c r="SZV5" s="94"/>
      <c r="SZW5" s="94"/>
      <c r="SZX5" s="94"/>
      <c r="SZY5" s="94"/>
      <c r="SZZ5" s="94"/>
      <c r="TAA5" s="94"/>
      <c r="TAB5" s="94"/>
      <c r="TAC5" s="94"/>
      <c r="TAD5" s="94"/>
      <c r="TAE5" s="94"/>
      <c r="TAF5" s="94"/>
      <c r="TAG5" s="94"/>
      <c r="TAH5" s="94"/>
      <c r="TAI5" s="94"/>
      <c r="TAJ5" s="94"/>
      <c r="TAK5" s="94"/>
      <c r="TAL5" s="94"/>
      <c r="TAM5" s="94"/>
      <c r="TAN5" s="94"/>
      <c r="TAO5" s="94"/>
      <c r="TAP5" s="94"/>
      <c r="TAQ5" s="94"/>
      <c r="TAR5" s="94"/>
      <c r="TAS5" s="94"/>
      <c r="TAT5" s="94"/>
      <c r="TAU5" s="94"/>
      <c r="TAV5" s="94"/>
      <c r="TAW5" s="94"/>
      <c r="TAX5" s="94"/>
      <c r="TAY5" s="94"/>
      <c r="TAZ5" s="94"/>
      <c r="TBA5" s="94"/>
      <c r="TBB5" s="94"/>
      <c r="TBC5" s="94"/>
      <c r="TBD5" s="94"/>
      <c r="TBE5" s="94"/>
      <c r="TBF5" s="94"/>
      <c r="TBG5" s="94"/>
      <c r="TBH5" s="94"/>
      <c r="TBI5" s="94"/>
      <c r="TBJ5" s="94"/>
      <c r="TBK5" s="94"/>
      <c r="TBL5" s="94"/>
      <c r="TBM5" s="94"/>
      <c r="TBN5" s="94"/>
      <c r="TBO5" s="94"/>
      <c r="TBP5" s="94"/>
      <c r="TBQ5" s="94"/>
      <c r="TBR5" s="94"/>
      <c r="TBS5" s="94"/>
      <c r="TBT5" s="94"/>
      <c r="TBU5" s="94"/>
      <c r="TBV5" s="94"/>
      <c r="TBW5" s="94"/>
      <c r="TBX5" s="94"/>
      <c r="TBY5" s="94"/>
      <c r="TBZ5" s="94"/>
      <c r="TCA5" s="94"/>
      <c r="TCB5" s="94"/>
      <c r="TCC5" s="94"/>
      <c r="TCD5" s="94"/>
      <c r="TCE5" s="94"/>
      <c r="TCF5" s="94"/>
      <c r="TCG5" s="94"/>
      <c r="TCH5" s="94"/>
      <c r="TCI5" s="94"/>
      <c r="TCJ5" s="94"/>
      <c r="TCK5" s="94"/>
      <c r="TCL5" s="94"/>
      <c r="TCM5" s="94"/>
      <c r="TCN5" s="94"/>
      <c r="TCO5" s="94"/>
      <c r="TCP5" s="94"/>
      <c r="TCQ5" s="94"/>
      <c r="TCR5" s="94"/>
      <c r="TCS5" s="94"/>
      <c r="TCT5" s="94"/>
      <c r="TCU5" s="94"/>
      <c r="TCV5" s="94"/>
      <c r="TCW5" s="94"/>
      <c r="TCX5" s="94"/>
      <c r="TCY5" s="94"/>
      <c r="TCZ5" s="94"/>
      <c r="TDA5" s="94"/>
      <c r="TDB5" s="94"/>
      <c r="TDC5" s="94"/>
      <c r="TDD5" s="94"/>
      <c r="TDE5" s="94"/>
      <c r="TDF5" s="94"/>
      <c r="TDG5" s="94"/>
      <c r="TDH5" s="94"/>
      <c r="TDI5" s="94"/>
      <c r="TDJ5" s="94"/>
      <c r="TDK5" s="94"/>
      <c r="TDL5" s="94"/>
      <c r="TDM5" s="94"/>
      <c r="TDN5" s="94"/>
      <c r="TDO5" s="94"/>
      <c r="TDP5" s="94"/>
      <c r="TDQ5" s="94"/>
      <c r="TDR5" s="94"/>
      <c r="TDS5" s="94"/>
      <c r="TDT5" s="94"/>
      <c r="TDU5" s="94"/>
      <c r="TDV5" s="94"/>
      <c r="TDW5" s="94"/>
      <c r="TDX5" s="94"/>
      <c r="TDY5" s="94"/>
      <c r="TDZ5" s="94"/>
      <c r="TEA5" s="94"/>
      <c r="TEB5" s="94"/>
      <c r="TEC5" s="94"/>
      <c r="TED5" s="94"/>
      <c r="TEE5" s="94"/>
      <c r="TEF5" s="94"/>
      <c r="TEG5" s="94"/>
      <c r="TEH5" s="94"/>
      <c r="TEI5" s="94"/>
      <c r="TEJ5" s="94"/>
      <c r="TEK5" s="94"/>
      <c r="TEL5" s="94"/>
      <c r="TEM5" s="94"/>
      <c r="TEN5" s="94"/>
      <c r="TEO5" s="94"/>
      <c r="TEP5" s="94"/>
      <c r="TEQ5" s="94"/>
      <c r="TER5" s="94"/>
      <c r="TES5" s="94"/>
      <c r="TET5" s="94"/>
      <c r="TEU5" s="94"/>
      <c r="TEV5" s="94"/>
      <c r="TEW5" s="94"/>
      <c r="TEX5" s="94"/>
      <c r="TEY5" s="94"/>
      <c r="TEZ5" s="94"/>
      <c r="TFA5" s="94"/>
      <c r="TFB5" s="94"/>
      <c r="TFC5" s="94"/>
      <c r="TFD5" s="94"/>
      <c r="TFE5" s="94"/>
      <c r="TFF5" s="94"/>
      <c r="TFG5" s="94"/>
      <c r="TFH5" s="94"/>
      <c r="TFI5" s="94"/>
      <c r="TFJ5" s="94"/>
      <c r="TFK5" s="94"/>
      <c r="TFL5" s="94"/>
      <c r="TFM5" s="94"/>
      <c r="TFN5" s="94"/>
      <c r="TFO5" s="94"/>
      <c r="TFP5" s="94"/>
      <c r="TFQ5" s="94"/>
      <c r="TFR5" s="94"/>
      <c r="TFS5" s="94"/>
      <c r="TFT5" s="94"/>
      <c r="TFU5" s="94"/>
      <c r="TFV5" s="94"/>
      <c r="TFW5" s="94"/>
      <c r="TFX5" s="94"/>
      <c r="TFY5" s="94"/>
      <c r="TFZ5" s="94"/>
      <c r="TGA5" s="94"/>
      <c r="TGB5" s="94"/>
      <c r="TGC5" s="94"/>
      <c r="TGD5" s="94"/>
      <c r="TGE5" s="94"/>
      <c r="TGF5" s="94"/>
      <c r="TGG5" s="94"/>
      <c r="TGH5" s="94"/>
      <c r="TGI5" s="94"/>
      <c r="TGJ5" s="94"/>
      <c r="TGK5" s="94"/>
      <c r="TGL5" s="94"/>
      <c r="TGM5" s="94"/>
      <c r="TGN5" s="94"/>
      <c r="TGO5" s="94"/>
      <c r="TGP5" s="94"/>
      <c r="TGQ5" s="94"/>
      <c r="TGR5" s="94"/>
      <c r="TGS5" s="94"/>
      <c r="TGT5" s="94"/>
      <c r="TGU5" s="94"/>
      <c r="TGV5" s="94"/>
      <c r="TGW5" s="94"/>
      <c r="TGX5" s="94"/>
      <c r="TGY5" s="94"/>
      <c r="TGZ5" s="94"/>
      <c r="THA5" s="94"/>
      <c r="THB5" s="94"/>
      <c r="THC5" s="94"/>
      <c r="THD5" s="94"/>
      <c r="THE5" s="94"/>
      <c r="THF5" s="94"/>
      <c r="THG5" s="94"/>
      <c r="THH5" s="94"/>
      <c r="THI5" s="94"/>
      <c r="THJ5" s="94"/>
      <c r="THK5" s="94"/>
      <c r="THL5" s="94"/>
      <c r="THM5" s="94"/>
      <c r="THN5" s="94"/>
      <c r="THO5" s="94"/>
      <c r="THP5" s="94"/>
      <c r="THQ5" s="94"/>
      <c r="THR5" s="94"/>
      <c r="THS5" s="94"/>
      <c r="THT5" s="94"/>
      <c r="THU5" s="94"/>
      <c r="THV5" s="94"/>
      <c r="THW5" s="94"/>
      <c r="THX5" s="94"/>
      <c r="THY5" s="94"/>
      <c r="THZ5" s="94"/>
      <c r="TIA5" s="94"/>
      <c r="TIB5" s="94"/>
      <c r="TIC5" s="94"/>
      <c r="TID5" s="94"/>
      <c r="TIE5" s="94"/>
      <c r="TIF5" s="94"/>
      <c r="TIG5" s="94"/>
      <c r="TIH5" s="94"/>
      <c r="TII5" s="94"/>
      <c r="TIJ5" s="94"/>
      <c r="TIK5" s="94"/>
      <c r="TIL5" s="94"/>
      <c r="TIM5" s="94"/>
      <c r="TIN5" s="94"/>
      <c r="TIO5" s="94"/>
      <c r="TIP5" s="94"/>
      <c r="TIQ5" s="94"/>
      <c r="TIR5" s="94"/>
      <c r="TIS5" s="94"/>
      <c r="TIT5" s="94"/>
      <c r="TIU5" s="94"/>
      <c r="TIV5" s="94"/>
      <c r="TIW5" s="94"/>
      <c r="TIX5" s="94"/>
      <c r="TIY5" s="94"/>
      <c r="TIZ5" s="94"/>
      <c r="TJA5" s="94"/>
      <c r="TJB5" s="94"/>
      <c r="TJC5" s="94"/>
      <c r="TJD5" s="94"/>
      <c r="TJE5" s="94"/>
      <c r="TJF5" s="94"/>
      <c r="TJG5" s="94"/>
      <c r="TJH5" s="94"/>
      <c r="TJI5" s="94"/>
      <c r="TJJ5" s="94"/>
      <c r="TJK5" s="94"/>
      <c r="TJL5" s="94"/>
      <c r="TJM5" s="94"/>
      <c r="TJN5" s="94"/>
      <c r="TJO5" s="94"/>
      <c r="TJP5" s="94"/>
      <c r="TJQ5" s="94"/>
      <c r="TJR5" s="94"/>
      <c r="TJS5" s="94"/>
      <c r="TJT5" s="94"/>
      <c r="TJU5" s="94"/>
      <c r="TJV5" s="94"/>
      <c r="TJW5" s="94"/>
      <c r="TJX5" s="94"/>
      <c r="TJY5" s="94"/>
      <c r="TJZ5" s="94"/>
      <c r="TKA5" s="94"/>
      <c r="TKB5" s="94"/>
      <c r="TKC5" s="94"/>
      <c r="TKD5" s="94"/>
      <c r="TKE5" s="94"/>
      <c r="TKF5" s="94"/>
      <c r="TKG5" s="94"/>
      <c r="TKH5" s="94"/>
      <c r="TKI5" s="94"/>
      <c r="TKJ5" s="94"/>
      <c r="TKK5" s="94"/>
      <c r="TKL5" s="94"/>
      <c r="TKM5" s="94"/>
      <c r="TKN5" s="94"/>
      <c r="TKO5" s="94"/>
      <c r="TKP5" s="94"/>
      <c r="TKQ5" s="94"/>
      <c r="TKR5" s="94"/>
      <c r="TKS5" s="94"/>
      <c r="TKT5" s="94"/>
      <c r="TKU5" s="94"/>
      <c r="TKV5" s="94"/>
      <c r="TKW5" s="94"/>
      <c r="TKX5" s="94"/>
      <c r="TKY5" s="94"/>
      <c r="TKZ5" s="94"/>
      <c r="TLA5" s="94"/>
      <c r="TLB5" s="94"/>
      <c r="TLC5" s="94"/>
      <c r="TLD5" s="94"/>
      <c r="TLE5" s="94"/>
      <c r="TLF5" s="94"/>
      <c r="TLG5" s="94"/>
      <c r="TLH5" s="94"/>
      <c r="TLI5" s="94"/>
      <c r="TLJ5" s="94"/>
      <c r="TLK5" s="94"/>
      <c r="TLL5" s="94"/>
      <c r="TLM5" s="94"/>
      <c r="TLN5" s="94"/>
      <c r="TLO5" s="94"/>
      <c r="TLP5" s="94"/>
      <c r="TLQ5" s="94"/>
      <c r="TLR5" s="94"/>
      <c r="TLS5" s="94"/>
      <c r="TLT5" s="94"/>
      <c r="TLU5" s="94"/>
      <c r="TLV5" s="94"/>
      <c r="TLW5" s="94"/>
      <c r="TLX5" s="94"/>
      <c r="TLY5" s="94"/>
      <c r="TLZ5" s="94"/>
      <c r="TMA5" s="94"/>
      <c r="TMB5" s="94"/>
      <c r="TMC5" s="94"/>
      <c r="TMD5" s="94"/>
      <c r="TME5" s="94"/>
      <c r="TMF5" s="94"/>
      <c r="TMG5" s="94"/>
      <c r="TMH5" s="94"/>
      <c r="TMI5" s="94"/>
      <c r="TMJ5" s="94"/>
      <c r="TMK5" s="94"/>
      <c r="TML5" s="94"/>
      <c r="TMM5" s="94"/>
      <c r="TMN5" s="94"/>
      <c r="TMO5" s="94"/>
      <c r="TMP5" s="94"/>
      <c r="TMQ5" s="94"/>
      <c r="TMR5" s="94"/>
      <c r="TMS5" s="94"/>
      <c r="TMT5" s="94"/>
      <c r="TMU5" s="94"/>
      <c r="TMV5" s="94"/>
      <c r="TMW5" s="94"/>
      <c r="TMX5" s="94"/>
      <c r="TMY5" s="94"/>
      <c r="TMZ5" s="94"/>
      <c r="TNA5" s="94"/>
      <c r="TNB5" s="94"/>
      <c r="TNC5" s="94"/>
      <c r="TND5" s="94"/>
      <c r="TNE5" s="94"/>
      <c r="TNF5" s="94"/>
      <c r="TNG5" s="94"/>
      <c r="TNH5" s="94"/>
      <c r="TNI5" s="94"/>
      <c r="TNJ5" s="94"/>
      <c r="TNK5" s="94"/>
      <c r="TNL5" s="94"/>
      <c r="TNM5" s="94"/>
      <c r="TNN5" s="94"/>
      <c r="TNO5" s="94"/>
      <c r="TNP5" s="94"/>
      <c r="TNQ5" s="94"/>
      <c r="TNR5" s="94"/>
      <c r="TNS5" s="94"/>
      <c r="TNT5" s="94"/>
      <c r="TNU5" s="94"/>
      <c r="TNV5" s="94"/>
      <c r="TNW5" s="94"/>
      <c r="TNX5" s="94"/>
      <c r="TNY5" s="94"/>
      <c r="TNZ5" s="94"/>
      <c r="TOA5" s="94"/>
      <c r="TOB5" s="94"/>
      <c r="TOC5" s="94"/>
      <c r="TOD5" s="94"/>
      <c r="TOE5" s="94"/>
      <c r="TOF5" s="94"/>
      <c r="TOG5" s="94"/>
      <c r="TOH5" s="94"/>
      <c r="TOI5" s="94"/>
      <c r="TOJ5" s="94"/>
      <c r="TOK5" s="94"/>
      <c r="TOL5" s="94"/>
      <c r="TOM5" s="94"/>
      <c r="TON5" s="94"/>
      <c r="TOO5" s="94"/>
      <c r="TOP5" s="94"/>
      <c r="TOQ5" s="94"/>
      <c r="TOR5" s="94"/>
      <c r="TOS5" s="94"/>
      <c r="TOT5" s="94"/>
      <c r="TOU5" s="94"/>
      <c r="TOV5" s="94"/>
      <c r="TOW5" s="94"/>
      <c r="TOX5" s="94"/>
      <c r="TOY5" s="94"/>
      <c r="TOZ5" s="94"/>
      <c r="TPA5" s="94"/>
      <c r="TPB5" s="94"/>
      <c r="TPC5" s="94"/>
      <c r="TPD5" s="94"/>
      <c r="TPE5" s="94"/>
      <c r="TPF5" s="94"/>
      <c r="TPG5" s="94"/>
      <c r="TPH5" s="94"/>
      <c r="TPI5" s="94"/>
      <c r="TPJ5" s="94"/>
      <c r="TPK5" s="94"/>
      <c r="TPL5" s="94"/>
      <c r="TPM5" s="94"/>
      <c r="TPN5" s="94"/>
      <c r="TPO5" s="94"/>
      <c r="TPP5" s="94"/>
      <c r="TPQ5" s="94"/>
      <c r="TPR5" s="94"/>
      <c r="TPS5" s="94"/>
      <c r="TPT5" s="94"/>
      <c r="TPU5" s="94"/>
      <c r="TPV5" s="94"/>
      <c r="TPW5" s="94"/>
      <c r="TPX5" s="94"/>
      <c r="TPY5" s="94"/>
      <c r="TPZ5" s="94"/>
      <c r="TQA5" s="94"/>
      <c r="TQB5" s="94"/>
      <c r="TQC5" s="94"/>
      <c r="TQD5" s="94"/>
      <c r="TQE5" s="94"/>
      <c r="TQF5" s="94"/>
      <c r="TQG5" s="94"/>
      <c r="TQH5" s="94"/>
      <c r="TQI5" s="94"/>
      <c r="TQJ5" s="94"/>
      <c r="TQK5" s="94"/>
      <c r="TQL5" s="94"/>
      <c r="TQM5" s="94"/>
      <c r="TQN5" s="94"/>
      <c r="TQO5" s="94"/>
      <c r="TQP5" s="94"/>
      <c r="TQQ5" s="94"/>
      <c r="TQR5" s="94"/>
      <c r="TQS5" s="94"/>
      <c r="TQT5" s="94"/>
      <c r="TQU5" s="94"/>
      <c r="TQV5" s="94"/>
      <c r="TQW5" s="94"/>
      <c r="TQX5" s="94"/>
      <c r="TQY5" s="94"/>
      <c r="TQZ5" s="94"/>
      <c r="TRA5" s="94"/>
      <c r="TRB5" s="94"/>
      <c r="TRC5" s="94"/>
      <c r="TRD5" s="94"/>
      <c r="TRE5" s="94"/>
      <c r="TRF5" s="94"/>
      <c r="TRG5" s="94"/>
      <c r="TRH5" s="94"/>
      <c r="TRI5" s="94"/>
      <c r="TRJ5" s="94"/>
      <c r="TRK5" s="94"/>
      <c r="TRL5" s="94"/>
      <c r="TRM5" s="94"/>
      <c r="TRN5" s="94"/>
      <c r="TRO5" s="94"/>
      <c r="TRP5" s="94"/>
      <c r="TRQ5" s="94"/>
      <c r="TRR5" s="94"/>
      <c r="TRS5" s="94"/>
      <c r="TRT5" s="94"/>
      <c r="TRU5" s="94"/>
      <c r="TRV5" s="94"/>
      <c r="TRW5" s="94"/>
      <c r="TRX5" s="94"/>
      <c r="TRY5" s="94"/>
      <c r="TRZ5" s="94"/>
      <c r="TSA5" s="94"/>
      <c r="TSB5" s="94"/>
      <c r="TSC5" s="94"/>
      <c r="TSD5" s="94"/>
      <c r="TSE5" s="94"/>
      <c r="TSF5" s="94"/>
      <c r="TSG5" s="94"/>
      <c r="TSH5" s="94"/>
      <c r="TSI5" s="94"/>
      <c r="TSJ5" s="94"/>
      <c r="TSK5" s="94"/>
      <c r="TSL5" s="94"/>
      <c r="TSM5" s="94"/>
      <c r="TSN5" s="94"/>
      <c r="TSO5" s="94"/>
      <c r="TSP5" s="94"/>
      <c r="TSQ5" s="94"/>
      <c r="TSR5" s="94"/>
      <c r="TSS5" s="94"/>
      <c r="TST5" s="94"/>
      <c r="TSU5" s="94"/>
      <c r="TSV5" s="94"/>
      <c r="TSW5" s="94"/>
      <c r="TSX5" s="94"/>
      <c r="TSY5" s="94"/>
      <c r="TSZ5" s="94"/>
      <c r="TTA5" s="94"/>
      <c r="TTB5" s="94"/>
      <c r="TTC5" s="94"/>
      <c r="TTD5" s="94"/>
      <c r="TTE5" s="94"/>
      <c r="TTF5" s="94"/>
      <c r="TTG5" s="94"/>
      <c r="TTH5" s="94"/>
      <c r="TTI5" s="94"/>
      <c r="TTJ5" s="94"/>
      <c r="TTK5" s="94"/>
      <c r="TTL5" s="94"/>
      <c r="TTM5" s="94"/>
      <c r="TTN5" s="94"/>
      <c r="TTO5" s="94"/>
      <c r="TTP5" s="94"/>
      <c r="TTQ5" s="94"/>
      <c r="TTR5" s="94"/>
      <c r="TTS5" s="94"/>
      <c r="TTT5" s="94"/>
      <c r="TTU5" s="94"/>
      <c r="TTV5" s="94"/>
      <c r="TTW5" s="94"/>
      <c r="TTX5" s="94"/>
      <c r="TTY5" s="94"/>
      <c r="TTZ5" s="94"/>
      <c r="TUA5" s="94"/>
      <c r="TUB5" s="94"/>
      <c r="TUC5" s="94"/>
      <c r="TUD5" s="94"/>
      <c r="TUE5" s="94"/>
      <c r="TUF5" s="94"/>
      <c r="TUG5" s="94"/>
      <c r="TUH5" s="94"/>
      <c r="TUI5" s="94"/>
      <c r="TUJ5" s="94"/>
      <c r="TUK5" s="94"/>
      <c r="TUL5" s="94"/>
      <c r="TUM5" s="94"/>
      <c r="TUN5" s="94"/>
      <c r="TUO5" s="94"/>
      <c r="TUP5" s="94"/>
      <c r="TUQ5" s="94"/>
      <c r="TUR5" s="94"/>
      <c r="TUS5" s="94"/>
      <c r="TUT5" s="94"/>
      <c r="TUU5" s="94"/>
      <c r="TUV5" s="94"/>
      <c r="TUW5" s="94"/>
      <c r="TUX5" s="94"/>
      <c r="TUY5" s="94"/>
      <c r="TUZ5" s="94"/>
      <c r="TVA5" s="94"/>
      <c r="TVB5" s="94"/>
      <c r="TVC5" s="94"/>
      <c r="TVD5" s="94"/>
      <c r="TVE5" s="94"/>
      <c r="TVF5" s="94"/>
      <c r="TVG5" s="94"/>
      <c r="TVH5" s="94"/>
      <c r="TVI5" s="94"/>
      <c r="TVJ5" s="94"/>
      <c r="TVK5" s="94"/>
      <c r="TVL5" s="94"/>
      <c r="TVM5" s="94"/>
      <c r="TVN5" s="94"/>
      <c r="TVO5" s="94"/>
      <c r="TVP5" s="94"/>
      <c r="TVQ5" s="94"/>
      <c r="TVR5" s="94"/>
      <c r="TVS5" s="94"/>
      <c r="TVT5" s="94"/>
      <c r="TVU5" s="94"/>
      <c r="TVV5" s="94"/>
      <c r="TVW5" s="94"/>
      <c r="TVX5" s="94"/>
      <c r="TVY5" s="94"/>
      <c r="TVZ5" s="94"/>
      <c r="TWA5" s="94"/>
      <c r="TWB5" s="94"/>
      <c r="TWC5" s="94"/>
      <c r="TWD5" s="94"/>
      <c r="TWE5" s="94"/>
      <c r="TWF5" s="94"/>
      <c r="TWG5" s="94"/>
      <c r="TWH5" s="94"/>
      <c r="TWI5" s="94"/>
      <c r="TWJ5" s="94"/>
      <c r="TWK5" s="94"/>
      <c r="TWL5" s="94"/>
      <c r="TWM5" s="94"/>
      <c r="TWN5" s="94"/>
      <c r="TWO5" s="94"/>
      <c r="TWP5" s="94"/>
      <c r="TWQ5" s="94"/>
      <c r="TWR5" s="94"/>
      <c r="TWS5" s="94"/>
      <c r="TWT5" s="94"/>
      <c r="TWU5" s="94"/>
      <c r="TWV5" s="94"/>
      <c r="TWW5" s="94"/>
      <c r="TWX5" s="94"/>
      <c r="TWY5" s="94"/>
      <c r="TWZ5" s="94"/>
      <c r="TXA5" s="94"/>
      <c r="TXB5" s="94"/>
      <c r="TXC5" s="94"/>
      <c r="TXD5" s="94"/>
      <c r="TXE5" s="94"/>
      <c r="TXF5" s="94"/>
      <c r="TXG5" s="94"/>
      <c r="TXH5" s="94"/>
      <c r="TXI5" s="94"/>
      <c r="TXJ5" s="94"/>
      <c r="TXK5" s="94"/>
      <c r="TXL5" s="94"/>
      <c r="TXM5" s="94"/>
      <c r="TXN5" s="94"/>
      <c r="TXO5" s="94"/>
      <c r="TXP5" s="94"/>
      <c r="TXQ5" s="94"/>
      <c r="TXR5" s="94"/>
      <c r="TXS5" s="94"/>
      <c r="TXT5" s="94"/>
      <c r="TXU5" s="94"/>
      <c r="TXV5" s="94"/>
      <c r="TXW5" s="94"/>
      <c r="TXX5" s="94"/>
      <c r="TXY5" s="94"/>
      <c r="TXZ5" s="94"/>
      <c r="TYA5" s="94"/>
      <c r="TYB5" s="94"/>
      <c r="TYC5" s="94"/>
      <c r="TYD5" s="94"/>
      <c r="TYE5" s="94"/>
      <c r="TYF5" s="94"/>
      <c r="TYG5" s="94"/>
      <c r="TYH5" s="94"/>
      <c r="TYI5" s="94"/>
      <c r="TYJ5" s="94"/>
      <c r="TYK5" s="94"/>
      <c r="TYL5" s="94"/>
      <c r="TYM5" s="94"/>
      <c r="TYN5" s="94"/>
      <c r="TYO5" s="94"/>
      <c r="TYP5" s="94"/>
      <c r="TYQ5" s="94"/>
      <c r="TYR5" s="94"/>
      <c r="TYS5" s="94"/>
      <c r="TYT5" s="94"/>
      <c r="TYU5" s="94"/>
      <c r="TYV5" s="94"/>
      <c r="TYW5" s="94"/>
      <c r="TYX5" s="94"/>
      <c r="TYY5" s="94"/>
      <c r="TYZ5" s="94"/>
      <c r="TZA5" s="94"/>
      <c r="TZB5" s="94"/>
      <c r="TZC5" s="94"/>
      <c r="TZD5" s="94"/>
      <c r="TZE5" s="94"/>
      <c r="TZF5" s="94"/>
      <c r="TZG5" s="94"/>
      <c r="TZH5" s="94"/>
      <c r="TZI5" s="94"/>
      <c r="TZJ5" s="94"/>
      <c r="TZK5" s="94"/>
      <c r="TZL5" s="94"/>
      <c r="TZM5" s="94"/>
      <c r="TZN5" s="94"/>
      <c r="TZO5" s="94"/>
      <c r="TZP5" s="94"/>
      <c r="TZQ5" s="94"/>
      <c r="TZR5" s="94"/>
      <c r="TZS5" s="94"/>
      <c r="TZT5" s="94"/>
      <c r="TZU5" s="94"/>
      <c r="TZV5" s="94"/>
      <c r="TZW5" s="94"/>
      <c r="TZX5" s="94"/>
      <c r="TZY5" s="94"/>
      <c r="TZZ5" s="94"/>
      <c r="UAA5" s="94"/>
      <c r="UAB5" s="94"/>
      <c r="UAC5" s="94"/>
      <c r="UAD5" s="94"/>
      <c r="UAE5" s="94"/>
      <c r="UAF5" s="94"/>
      <c r="UAG5" s="94"/>
      <c r="UAH5" s="94"/>
      <c r="UAI5" s="94"/>
      <c r="UAJ5" s="94"/>
      <c r="UAK5" s="94"/>
      <c r="UAL5" s="94"/>
      <c r="UAM5" s="94"/>
      <c r="UAN5" s="94"/>
      <c r="UAO5" s="94"/>
      <c r="UAP5" s="94"/>
      <c r="UAQ5" s="94"/>
      <c r="UAR5" s="94"/>
      <c r="UAS5" s="94"/>
      <c r="UAT5" s="94"/>
      <c r="UAU5" s="94"/>
      <c r="UAV5" s="94"/>
      <c r="UAW5" s="94"/>
      <c r="UAX5" s="94"/>
      <c r="UAY5" s="94"/>
      <c r="UAZ5" s="94"/>
      <c r="UBA5" s="94"/>
      <c r="UBB5" s="94"/>
      <c r="UBC5" s="94"/>
      <c r="UBD5" s="94"/>
      <c r="UBE5" s="94"/>
      <c r="UBF5" s="94"/>
      <c r="UBG5" s="94"/>
      <c r="UBH5" s="94"/>
      <c r="UBI5" s="94"/>
      <c r="UBJ5" s="94"/>
      <c r="UBK5" s="94"/>
      <c r="UBL5" s="94"/>
      <c r="UBM5" s="94"/>
      <c r="UBN5" s="94"/>
      <c r="UBO5" s="94"/>
      <c r="UBP5" s="94"/>
      <c r="UBQ5" s="94"/>
      <c r="UBR5" s="94"/>
      <c r="UBS5" s="94"/>
      <c r="UBT5" s="94"/>
      <c r="UBU5" s="94"/>
      <c r="UBV5" s="94"/>
      <c r="UBW5" s="94"/>
      <c r="UBX5" s="94"/>
      <c r="UBY5" s="94"/>
      <c r="UBZ5" s="94"/>
      <c r="UCA5" s="94"/>
      <c r="UCB5" s="94"/>
      <c r="UCC5" s="94"/>
      <c r="UCD5" s="94"/>
      <c r="UCE5" s="94"/>
      <c r="UCF5" s="94"/>
      <c r="UCG5" s="94"/>
      <c r="UCH5" s="94"/>
      <c r="UCI5" s="94"/>
      <c r="UCJ5" s="94"/>
      <c r="UCK5" s="94"/>
      <c r="UCL5" s="94"/>
      <c r="UCM5" s="94"/>
      <c r="UCN5" s="94"/>
      <c r="UCO5" s="94"/>
      <c r="UCP5" s="94"/>
      <c r="UCQ5" s="94"/>
      <c r="UCR5" s="94"/>
      <c r="UCS5" s="94"/>
      <c r="UCT5" s="94"/>
      <c r="UCU5" s="94"/>
      <c r="UCV5" s="94"/>
      <c r="UCW5" s="94"/>
      <c r="UCX5" s="94"/>
      <c r="UCY5" s="94"/>
      <c r="UCZ5" s="94"/>
      <c r="UDA5" s="94"/>
      <c r="UDB5" s="94"/>
      <c r="UDC5" s="94"/>
      <c r="UDD5" s="94"/>
      <c r="UDE5" s="94"/>
      <c r="UDF5" s="94"/>
      <c r="UDG5" s="94"/>
      <c r="UDH5" s="94"/>
      <c r="UDI5" s="94"/>
      <c r="UDJ5" s="94"/>
      <c r="UDK5" s="94"/>
      <c r="UDL5" s="94"/>
      <c r="UDM5" s="94"/>
      <c r="UDN5" s="94"/>
      <c r="UDO5" s="94"/>
      <c r="UDP5" s="94"/>
      <c r="UDQ5" s="94"/>
      <c r="UDR5" s="94"/>
      <c r="UDS5" s="94"/>
      <c r="UDT5" s="94"/>
      <c r="UDU5" s="94"/>
      <c r="UDV5" s="94"/>
      <c r="UDW5" s="94"/>
      <c r="UDX5" s="94"/>
      <c r="UDY5" s="94"/>
      <c r="UDZ5" s="94"/>
      <c r="UEA5" s="94"/>
      <c r="UEB5" s="94"/>
      <c r="UEC5" s="94"/>
      <c r="UED5" s="94"/>
      <c r="UEE5" s="94"/>
      <c r="UEF5" s="94"/>
      <c r="UEG5" s="94"/>
      <c r="UEH5" s="94"/>
      <c r="UEI5" s="94"/>
      <c r="UEJ5" s="94"/>
      <c r="UEK5" s="94"/>
      <c r="UEL5" s="94"/>
      <c r="UEM5" s="94"/>
      <c r="UEN5" s="94"/>
      <c r="UEO5" s="94"/>
      <c r="UEP5" s="94"/>
      <c r="UEQ5" s="94"/>
      <c r="UER5" s="94"/>
      <c r="UES5" s="94"/>
      <c r="UET5" s="94"/>
      <c r="UEU5" s="94"/>
      <c r="UEV5" s="94"/>
      <c r="UEW5" s="94"/>
      <c r="UEX5" s="94"/>
      <c r="UEY5" s="94"/>
      <c r="UEZ5" s="94"/>
      <c r="UFA5" s="94"/>
      <c r="UFB5" s="94"/>
      <c r="UFC5" s="94"/>
      <c r="UFD5" s="94"/>
      <c r="UFE5" s="94"/>
      <c r="UFF5" s="94"/>
      <c r="UFG5" s="94"/>
      <c r="UFH5" s="94"/>
      <c r="UFI5" s="94"/>
      <c r="UFJ5" s="94"/>
      <c r="UFK5" s="94"/>
      <c r="UFL5" s="94"/>
      <c r="UFM5" s="94"/>
      <c r="UFN5" s="94"/>
      <c r="UFO5" s="94"/>
      <c r="UFP5" s="94"/>
      <c r="UFQ5" s="94"/>
      <c r="UFR5" s="94"/>
      <c r="UFS5" s="94"/>
      <c r="UFT5" s="94"/>
      <c r="UFU5" s="94"/>
      <c r="UFV5" s="94"/>
      <c r="UFW5" s="94"/>
      <c r="UFX5" s="94"/>
      <c r="UFY5" s="94"/>
      <c r="UFZ5" s="94"/>
      <c r="UGA5" s="94"/>
      <c r="UGB5" s="94"/>
      <c r="UGC5" s="94"/>
      <c r="UGD5" s="94"/>
      <c r="UGE5" s="94"/>
      <c r="UGF5" s="94"/>
      <c r="UGG5" s="94"/>
      <c r="UGH5" s="94"/>
      <c r="UGI5" s="94"/>
      <c r="UGJ5" s="94"/>
      <c r="UGK5" s="94"/>
      <c r="UGL5" s="94"/>
      <c r="UGM5" s="94"/>
      <c r="UGN5" s="94"/>
      <c r="UGO5" s="94"/>
      <c r="UGP5" s="94"/>
      <c r="UGQ5" s="94"/>
      <c r="UGR5" s="94"/>
      <c r="UGS5" s="94"/>
      <c r="UGT5" s="94"/>
      <c r="UGU5" s="94"/>
      <c r="UGV5" s="94"/>
      <c r="UGW5" s="94"/>
      <c r="UGX5" s="94"/>
      <c r="UGY5" s="94"/>
      <c r="UGZ5" s="94"/>
      <c r="UHA5" s="94"/>
      <c r="UHB5" s="94"/>
      <c r="UHC5" s="94"/>
      <c r="UHD5" s="94"/>
      <c r="UHE5" s="94"/>
      <c r="UHF5" s="94"/>
      <c r="UHG5" s="94"/>
      <c r="UHH5" s="94"/>
      <c r="UHI5" s="94"/>
      <c r="UHJ5" s="94"/>
      <c r="UHK5" s="94"/>
      <c r="UHL5" s="94"/>
      <c r="UHM5" s="94"/>
      <c r="UHN5" s="94"/>
      <c r="UHO5" s="94"/>
      <c r="UHP5" s="94"/>
      <c r="UHQ5" s="94"/>
      <c r="UHR5" s="94"/>
      <c r="UHS5" s="94"/>
      <c r="UHT5" s="94"/>
      <c r="UHU5" s="94"/>
      <c r="UHV5" s="94"/>
      <c r="UHW5" s="94"/>
      <c r="UHX5" s="94"/>
      <c r="UHY5" s="94"/>
      <c r="UHZ5" s="94"/>
      <c r="UIA5" s="94"/>
      <c r="UIB5" s="94"/>
      <c r="UIC5" s="94"/>
      <c r="UID5" s="94"/>
      <c r="UIE5" s="94"/>
      <c r="UIF5" s="94"/>
      <c r="UIG5" s="94"/>
      <c r="UIH5" s="94"/>
      <c r="UII5" s="94"/>
      <c r="UIJ5" s="94"/>
      <c r="UIK5" s="94"/>
      <c r="UIL5" s="94"/>
      <c r="UIM5" s="94"/>
      <c r="UIN5" s="94"/>
      <c r="UIO5" s="94"/>
      <c r="UIP5" s="94"/>
      <c r="UIQ5" s="94"/>
      <c r="UIR5" s="94"/>
      <c r="UIS5" s="94"/>
      <c r="UIT5" s="94"/>
      <c r="UIU5" s="94"/>
      <c r="UIV5" s="94"/>
      <c r="UIW5" s="94"/>
      <c r="UIX5" s="94"/>
      <c r="UIY5" s="94"/>
      <c r="UIZ5" s="94"/>
      <c r="UJA5" s="94"/>
      <c r="UJB5" s="94"/>
      <c r="UJC5" s="94"/>
      <c r="UJD5" s="94"/>
      <c r="UJE5" s="94"/>
      <c r="UJF5" s="94"/>
      <c r="UJG5" s="94"/>
      <c r="UJH5" s="94"/>
      <c r="UJI5" s="94"/>
      <c r="UJJ5" s="94"/>
      <c r="UJK5" s="94"/>
      <c r="UJL5" s="94"/>
      <c r="UJM5" s="94"/>
      <c r="UJN5" s="94"/>
      <c r="UJO5" s="94"/>
      <c r="UJP5" s="94"/>
      <c r="UJQ5" s="94"/>
      <c r="UJR5" s="94"/>
      <c r="UJS5" s="94"/>
      <c r="UJT5" s="94"/>
      <c r="UJU5" s="94"/>
      <c r="UJV5" s="94"/>
      <c r="UJW5" s="94"/>
      <c r="UJX5" s="94"/>
      <c r="UJY5" s="94"/>
      <c r="UJZ5" s="94"/>
      <c r="UKA5" s="94"/>
      <c r="UKB5" s="94"/>
      <c r="UKC5" s="94"/>
      <c r="UKD5" s="94"/>
      <c r="UKE5" s="94"/>
      <c r="UKF5" s="94"/>
      <c r="UKG5" s="94"/>
      <c r="UKH5" s="94"/>
      <c r="UKI5" s="94"/>
      <c r="UKJ5" s="94"/>
      <c r="UKK5" s="94"/>
      <c r="UKL5" s="94"/>
      <c r="UKM5" s="94"/>
      <c r="UKN5" s="94"/>
      <c r="UKO5" s="94"/>
      <c r="UKP5" s="94"/>
      <c r="UKQ5" s="94"/>
      <c r="UKR5" s="94"/>
      <c r="UKS5" s="94"/>
      <c r="UKT5" s="94"/>
      <c r="UKU5" s="94"/>
      <c r="UKV5" s="94"/>
      <c r="UKW5" s="94"/>
      <c r="UKX5" s="94"/>
      <c r="UKY5" s="94"/>
      <c r="UKZ5" s="94"/>
      <c r="ULA5" s="94"/>
      <c r="ULB5" s="94"/>
      <c r="ULC5" s="94"/>
      <c r="ULD5" s="94"/>
      <c r="ULE5" s="94"/>
      <c r="ULF5" s="94"/>
      <c r="ULG5" s="94"/>
      <c r="ULH5" s="94"/>
      <c r="ULI5" s="94"/>
      <c r="ULJ5" s="94"/>
      <c r="ULK5" s="94"/>
      <c r="ULL5" s="94"/>
      <c r="ULM5" s="94"/>
      <c r="ULN5" s="94"/>
      <c r="ULO5" s="94"/>
      <c r="ULP5" s="94"/>
      <c r="ULQ5" s="94"/>
      <c r="ULR5" s="94"/>
      <c r="ULS5" s="94"/>
      <c r="ULT5" s="94"/>
      <c r="ULU5" s="94"/>
      <c r="ULV5" s="94"/>
      <c r="ULW5" s="94"/>
      <c r="ULX5" s="94"/>
      <c r="ULY5" s="94"/>
      <c r="ULZ5" s="94"/>
      <c r="UMA5" s="94"/>
      <c r="UMB5" s="94"/>
      <c r="UMC5" s="94"/>
      <c r="UMD5" s="94"/>
      <c r="UME5" s="94"/>
      <c r="UMF5" s="94"/>
      <c r="UMG5" s="94"/>
      <c r="UMH5" s="94"/>
      <c r="UMI5" s="94"/>
      <c r="UMJ5" s="94"/>
      <c r="UMK5" s="94"/>
      <c r="UML5" s="94"/>
      <c r="UMM5" s="94"/>
      <c r="UMN5" s="94"/>
      <c r="UMO5" s="94"/>
      <c r="UMP5" s="94"/>
      <c r="UMQ5" s="94"/>
      <c r="UMR5" s="94"/>
      <c r="UMS5" s="94"/>
      <c r="UMT5" s="94"/>
      <c r="UMU5" s="94"/>
      <c r="UMV5" s="94"/>
      <c r="UMW5" s="94"/>
      <c r="UMX5" s="94"/>
      <c r="UMY5" s="94"/>
      <c r="UMZ5" s="94"/>
      <c r="UNA5" s="94"/>
      <c r="UNB5" s="94"/>
      <c r="UNC5" s="94"/>
      <c r="UND5" s="94"/>
      <c r="UNE5" s="94"/>
      <c r="UNF5" s="94"/>
      <c r="UNG5" s="94"/>
      <c r="UNH5" s="94"/>
      <c r="UNI5" s="94"/>
      <c r="UNJ5" s="94"/>
      <c r="UNK5" s="94"/>
      <c r="UNL5" s="94"/>
      <c r="UNM5" s="94"/>
      <c r="UNN5" s="94"/>
      <c r="UNO5" s="94"/>
      <c r="UNP5" s="94"/>
      <c r="UNQ5" s="94"/>
      <c r="UNR5" s="94"/>
      <c r="UNS5" s="94"/>
      <c r="UNT5" s="94"/>
      <c r="UNU5" s="94"/>
      <c r="UNV5" s="94"/>
      <c r="UNW5" s="94"/>
      <c r="UNX5" s="94"/>
      <c r="UNY5" s="94"/>
      <c r="UNZ5" s="94"/>
      <c r="UOA5" s="94"/>
      <c r="UOB5" s="94"/>
      <c r="UOC5" s="94"/>
      <c r="UOD5" s="94"/>
      <c r="UOE5" s="94"/>
      <c r="UOF5" s="94"/>
      <c r="UOG5" s="94"/>
      <c r="UOH5" s="94"/>
      <c r="UOI5" s="94"/>
      <c r="UOJ5" s="94"/>
      <c r="UOK5" s="94"/>
      <c r="UOL5" s="94"/>
      <c r="UOM5" s="94"/>
      <c r="UON5" s="94"/>
      <c r="UOO5" s="94"/>
      <c r="UOP5" s="94"/>
      <c r="UOQ5" s="94"/>
      <c r="UOR5" s="94"/>
      <c r="UOS5" s="94"/>
      <c r="UOT5" s="94"/>
      <c r="UOU5" s="94"/>
      <c r="UOV5" s="94"/>
      <c r="UOW5" s="94"/>
      <c r="UOX5" s="94"/>
      <c r="UOY5" s="94"/>
      <c r="UOZ5" s="94"/>
      <c r="UPA5" s="94"/>
      <c r="UPB5" s="94"/>
      <c r="UPC5" s="94"/>
      <c r="UPD5" s="94"/>
      <c r="UPE5" s="94"/>
      <c r="UPF5" s="94"/>
      <c r="UPG5" s="94"/>
      <c r="UPH5" s="94"/>
      <c r="UPI5" s="94"/>
      <c r="UPJ5" s="94"/>
      <c r="UPK5" s="94"/>
      <c r="UPL5" s="94"/>
      <c r="UPM5" s="94"/>
      <c r="UPN5" s="94"/>
      <c r="UPO5" s="94"/>
      <c r="UPP5" s="94"/>
      <c r="UPQ5" s="94"/>
      <c r="UPR5" s="94"/>
      <c r="UPS5" s="94"/>
      <c r="UPT5" s="94"/>
      <c r="UPU5" s="94"/>
      <c r="UPV5" s="94"/>
      <c r="UPW5" s="94"/>
      <c r="UPX5" s="94"/>
      <c r="UPY5" s="94"/>
      <c r="UPZ5" s="94"/>
      <c r="UQA5" s="94"/>
      <c r="UQB5" s="94"/>
      <c r="UQC5" s="94"/>
      <c r="UQD5" s="94"/>
      <c r="UQE5" s="94"/>
      <c r="UQF5" s="94"/>
      <c r="UQG5" s="94"/>
      <c r="UQH5" s="94"/>
      <c r="UQI5" s="94"/>
      <c r="UQJ5" s="94"/>
      <c r="UQK5" s="94"/>
      <c r="UQL5" s="94"/>
      <c r="UQM5" s="94"/>
      <c r="UQN5" s="94"/>
      <c r="UQO5" s="94"/>
      <c r="UQP5" s="94"/>
      <c r="UQQ5" s="94"/>
      <c r="UQR5" s="94"/>
      <c r="UQS5" s="94"/>
      <c r="UQT5" s="94"/>
      <c r="UQU5" s="94"/>
      <c r="UQV5" s="94"/>
      <c r="UQW5" s="94"/>
      <c r="UQX5" s="94"/>
      <c r="UQY5" s="94"/>
      <c r="UQZ5" s="94"/>
      <c r="URA5" s="94"/>
      <c r="URB5" s="94"/>
      <c r="URC5" s="94"/>
      <c r="URD5" s="94"/>
      <c r="URE5" s="94"/>
      <c r="URF5" s="94"/>
      <c r="URG5" s="94"/>
      <c r="URH5" s="94"/>
      <c r="URI5" s="94"/>
      <c r="URJ5" s="94"/>
      <c r="URK5" s="94"/>
      <c r="URL5" s="94"/>
      <c r="URM5" s="94"/>
      <c r="URN5" s="94"/>
      <c r="URO5" s="94"/>
      <c r="URP5" s="94"/>
      <c r="URQ5" s="94"/>
      <c r="URR5" s="94"/>
      <c r="URS5" s="94"/>
      <c r="URT5" s="94"/>
      <c r="URU5" s="94"/>
      <c r="URV5" s="94"/>
      <c r="URW5" s="94"/>
      <c r="URX5" s="94"/>
      <c r="URY5" s="94"/>
      <c r="URZ5" s="94"/>
      <c r="USA5" s="94"/>
      <c r="USB5" s="94"/>
      <c r="USC5" s="94"/>
      <c r="USD5" s="94"/>
      <c r="USE5" s="94"/>
      <c r="USF5" s="94"/>
      <c r="USG5" s="94"/>
      <c r="USH5" s="94"/>
      <c r="USI5" s="94"/>
      <c r="USJ5" s="94"/>
      <c r="USK5" s="94"/>
      <c r="USL5" s="94"/>
      <c r="USM5" s="94"/>
      <c r="USN5" s="94"/>
      <c r="USO5" s="94"/>
      <c r="USP5" s="94"/>
      <c r="USQ5" s="94"/>
      <c r="USR5" s="94"/>
      <c r="USS5" s="94"/>
      <c r="UST5" s="94"/>
      <c r="USU5" s="94"/>
      <c r="USV5" s="94"/>
      <c r="USW5" s="94"/>
      <c r="USX5" s="94"/>
      <c r="USY5" s="94"/>
      <c r="USZ5" s="94"/>
      <c r="UTA5" s="94"/>
      <c r="UTB5" s="94"/>
      <c r="UTC5" s="94"/>
      <c r="UTD5" s="94"/>
      <c r="UTE5" s="94"/>
      <c r="UTF5" s="94"/>
      <c r="UTG5" s="94"/>
      <c r="UTH5" s="94"/>
      <c r="UTI5" s="94"/>
      <c r="UTJ5" s="94"/>
      <c r="UTK5" s="94"/>
      <c r="UTL5" s="94"/>
      <c r="UTM5" s="94"/>
      <c r="UTN5" s="94"/>
      <c r="UTO5" s="94"/>
      <c r="UTP5" s="94"/>
      <c r="UTQ5" s="94"/>
      <c r="UTR5" s="94"/>
      <c r="UTS5" s="94"/>
      <c r="UTT5" s="94"/>
      <c r="UTU5" s="94"/>
      <c r="UTV5" s="94"/>
      <c r="UTW5" s="94"/>
      <c r="UTX5" s="94"/>
      <c r="UTY5" s="94"/>
      <c r="UTZ5" s="94"/>
      <c r="UUA5" s="94"/>
      <c r="UUB5" s="94"/>
      <c r="UUC5" s="94"/>
      <c r="UUD5" s="94"/>
      <c r="UUE5" s="94"/>
      <c r="UUF5" s="94"/>
      <c r="UUG5" s="94"/>
      <c r="UUH5" s="94"/>
      <c r="UUI5" s="94"/>
      <c r="UUJ5" s="94"/>
      <c r="UUK5" s="94"/>
      <c r="UUL5" s="94"/>
      <c r="UUM5" s="94"/>
      <c r="UUN5" s="94"/>
      <c r="UUO5" s="94"/>
      <c r="UUP5" s="94"/>
      <c r="UUQ5" s="94"/>
      <c r="UUR5" s="94"/>
      <c r="UUS5" s="94"/>
      <c r="UUT5" s="94"/>
      <c r="UUU5" s="94"/>
      <c r="UUV5" s="94"/>
      <c r="UUW5" s="94"/>
      <c r="UUX5" s="94"/>
      <c r="UUY5" s="94"/>
      <c r="UUZ5" s="94"/>
      <c r="UVA5" s="94"/>
      <c r="UVB5" s="94"/>
      <c r="UVC5" s="94"/>
      <c r="UVD5" s="94"/>
      <c r="UVE5" s="94"/>
      <c r="UVF5" s="94"/>
      <c r="UVG5" s="94"/>
      <c r="UVH5" s="94"/>
      <c r="UVI5" s="94"/>
      <c r="UVJ5" s="94"/>
      <c r="UVK5" s="94"/>
      <c r="UVL5" s="94"/>
      <c r="UVM5" s="94"/>
      <c r="UVN5" s="94"/>
      <c r="UVO5" s="94"/>
      <c r="UVP5" s="94"/>
      <c r="UVQ5" s="94"/>
      <c r="UVR5" s="94"/>
      <c r="UVS5" s="94"/>
      <c r="UVT5" s="94"/>
      <c r="UVU5" s="94"/>
      <c r="UVV5" s="94"/>
      <c r="UVW5" s="94"/>
      <c r="UVX5" s="94"/>
      <c r="UVY5" s="94"/>
      <c r="UVZ5" s="94"/>
      <c r="UWA5" s="94"/>
      <c r="UWB5" s="94"/>
      <c r="UWC5" s="94"/>
      <c r="UWD5" s="94"/>
      <c r="UWE5" s="94"/>
      <c r="UWF5" s="94"/>
      <c r="UWG5" s="94"/>
      <c r="UWH5" s="94"/>
      <c r="UWI5" s="94"/>
      <c r="UWJ5" s="94"/>
      <c r="UWK5" s="94"/>
      <c r="UWL5" s="94"/>
      <c r="UWM5" s="94"/>
      <c r="UWN5" s="94"/>
      <c r="UWO5" s="94"/>
      <c r="UWP5" s="94"/>
      <c r="UWQ5" s="94"/>
      <c r="UWR5" s="94"/>
      <c r="UWS5" s="94"/>
      <c r="UWT5" s="94"/>
      <c r="UWU5" s="94"/>
      <c r="UWV5" s="94"/>
      <c r="UWW5" s="94"/>
      <c r="UWX5" s="94"/>
      <c r="UWY5" s="94"/>
      <c r="UWZ5" s="94"/>
      <c r="UXA5" s="94"/>
      <c r="UXB5" s="94"/>
      <c r="UXC5" s="94"/>
      <c r="UXD5" s="94"/>
      <c r="UXE5" s="94"/>
      <c r="UXF5" s="94"/>
      <c r="UXG5" s="94"/>
      <c r="UXH5" s="94"/>
      <c r="UXI5" s="94"/>
      <c r="UXJ5" s="94"/>
      <c r="UXK5" s="94"/>
      <c r="UXL5" s="94"/>
      <c r="UXM5" s="94"/>
      <c r="UXN5" s="94"/>
      <c r="UXO5" s="94"/>
      <c r="UXP5" s="94"/>
      <c r="UXQ5" s="94"/>
      <c r="UXR5" s="94"/>
      <c r="UXS5" s="94"/>
      <c r="UXT5" s="94"/>
      <c r="UXU5" s="94"/>
      <c r="UXV5" s="94"/>
      <c r="UXW5" s="94"/>
      <c r="UXX5" s="94"/>
      <c r="UXY5" s="94"/>
      <c r="UXZ5" s="94"/>
      <c r="UYA5" s="94"/>
      <c r="UYB5" s="94"/>
      <c r="UYC5" s="94"/>
      <c r="UYD5" s="94"/>
      <c r="UYE5" s="94"/>
      <c r="UYF5" s="94"/>
      <c r="UYG5" s="94"/>
      <c r="UYH5" s="94"/>
      <c r="UYI5" s="94"/>
      <c r="UYJ5" s="94"/>
      <c r="UYK5" s="94"/>
      <c r="UYL5" s="94"/>
      <c r="UYM5" s="94"/>
      <c r="UYN5" s="94"/>
      <c r="UYO5" s="94"/>
      <c r="UYP5" s="94"/>
      <c r="UYQ5" s="94"/>
      <c r="UYR5" s="94"/>
      <c r="UYS5" s="94"/>
      <c r="UYT5" s="94"/>
      <c r="UYU5" s="94"/>
      <c r="UYV5" s="94"/>
      <c r="UYW5" s="94"/>
      <c r="UYX5" s="94"/>
      <c r="UYY5" s="94"/>
      <c r="UYZ5" s="94"/>
      <c r="UZA5" s="94"/>
      <c r="UZB5" s="94"/>
      <c r="UZC5" s="94"/>
      <c r="UZD5" s="94"/>
      <c r="UZE5" s="94"/>
      <c r="UZF5" s="94"/>
      <c r="UZG5" s="94"/>
      <c r="UZH5" s="94"/>
      <c r="UZI5" s="94"/>
      <c r="UZJ5" s="94"/>
      <c r="UZK5" s="94"/>
      <c r="UZL5" s="94"/>
      <c r="UZM5" s="94"/>
      <c r="UZN5" s="94"/>
      <c r="UZO5" s="94"/>
      <c r="UZP5" s="94"/>
      <c r="UZQ5" s="94"/>
      <c r="UZR5" s="94"/>
      <c r="UZS5" s="94"/>
      <c r="UZT5" s="94"/>
      <c r="UZU5" s="94"/>
      <c r="UZV5" s="94"/>
      <c r="UZW5" s="94"/>
      <c r="UZX5" s="94"/>
      <c r="UZY5" s="94"/>
      <c r="UZZ5" s="94"/>
      <c r="VAA5" s="94"/>
      <c r="VAB5" s="94"/>
      <c r="VAC5" s="94"/>
      <c r="VAD5" s="94"/>
      <c r="VAE5" s="94"/>
      <c r="VAF5" s="94"/>
      <c r="VAG5" s="94"/>
      <c r="VAH5" s="94"/>
      <c r="VAI5" s="94"/>
      <c r="VAJ5" s="94"/>
      <c r="VAK5" s="94"/>
      <c r="VAL5" s="94"/>
      <c r="VAM5" s="94"/>
      <c r="VAN5" s="94"/>
      <c r="VAO5" s="94"/>
      <c r="VAP5" s="94"/>
      <c r="VAQ5" s="94"/>
      <c r="VAR5" s="94"/>
      <c r="VAS5" s="94"/>
      <c r="VAT5" s="94"/>
      <c r="VAU5" s="94"/>
      <c r="VAV5" s="94"/>
      <c r="VAW5" s="94"/>
      <c r="VAX5" s="94"/>
      <c r="VAY5" s="94"/>
      <c r="VAZ5" s="94"/>
      <c r="VBA5" s="94"/>
      <c r="VBB5" s="94"/>
      <c r="VBC5" s="94"/>
      <c r="VBD5" s="94"/>
      <c r="VBE5" s="94"/>
      <c r="VBF5" s="94"/>
      <c r="VBG5" s="94"/>
      <c r="VBH5" s="94"/>
      <c r="VBI5" s="94"/>
      <c r="VBJ5" s="94"/>
      <c r="VBK5" s="94"/>
      <c r="VBL5" s="94"/>
      <c r="VBM5" s="94"/>
      <c r="VBN5" s="94"/>
      <c r="VBO5" s="94"/>
      <c r="VBP5" s="94"/>
      <c r="VBQ5" s="94"/>
      <c r="VBR5" s="94"/>
      <c r="VBS5" s="94"/>
      <c r="VBT5" s="94"/>
      <c r="VBU5" s="94"/>
      <c r="VBV5" s="94"/>
      <c r="VBW5" s="94"/>
      <c r="VBX5" s="94"/>
      <c r="VBY5" s="94"/>
      <c r="VBZ5" s="94"/>
      <c r="VCA5" s="94"/>
      <c r="VCB5" s="94"/>
      <c r="VCC5" s="94"/>
      <c r="VCD5" s="94"/>
      <c r="VCE5" s="94"/>
      <c r="VCF5" s="94"/>
      <c r="VCG5" s="94"/>
      <c r="VCH5" s="94"/>
      <c r="VCI5" s="94"/>
      <c r="VCJ5" s="94"/>
      <c r="VCK5" s="94"/>
      <c r="VCL5" s="94"/>
      <c r="VCM5" s="94"/>
      <c r="VCN5" s="94"/>
      <c r="VCO5" s="94"/>
      <c r="VCP5" s="94"/>
      <c r="VCQ5" s="94"/>
      <c r="VCR5" s="94"/>
      <c r="VCS5" s="94"/>
      <c r="VCT5" s="94"/>
      <c r="VCU5" s="94"/>
      <c r="VCV5" s="94"/>
      <c r="VCW5" s="94"/>
      <c r="VCX5" s="94"/>
      <c r="VCY5" s="94"/>
      <c r="VCZ5" s="94"/>
      <c r="VDA5" s="94"/>
      <c r="VDB5" s="94"/>
      <c r="VDC5" s="94"/>
      <c r="VDD5" s="94"/>
      <c r="VDE5" s="94"/>
      <c r="VDF5" s="94"/>
      <c r="VDG5" s="94"/>
      <c r="VDH5" s="94"/>
      <c r="VDI5" s="94"/>
      <c r="VDJ5" s="94"/>
      <c r="VDK5" s="94"/>
      <c r="VDL5" s="94"/>
      <c r="VDM5" s="94"/>
      <c r="VDN5" s="94"/>
      <c r="VDO5" s="94"/>
      <c r="VDP5" s="94"/>
      <c r="VDQ5" s="94"/>
      <c r="VDR5" s="94"/>
      <c r="VDS5" s="94"/>
      <c r="VDT5" s="94"/>
      <c r="VDU5" s="94"/>
      <c r="VDV5" s="94"/>
      <c r="VDW5" s="94"/>
      <c r="VDX5" s="94"/>
      <c r="VDY5" s="94"/>
      <c r="VDZ5" s="94"/>
      <c r="VEA5" s="94"/>
      <c r="VEB5" s="94"/>
      <c r="VEC5" s="94"/>
      <c r="VED5" s="94"/>
      <c r="VEE5" s="94"/>
      <c r="VEF5" s="94"/>
      <c r="VEG5" s="94"/>
      <c r="VEH5" s="94"/>
      <c r="VEI5" s="94"/>
      <c r="VEJ5" s="94"/>
      <c r="VEK5" s="94"/>
      <c r="VEL5" s="94"/>
      <c r="VEM5" s="94"/>
      <c r="VEN5" s="94"/>
      <c r="VEO5" s="94"/>
      <c r="VEP5" s="94"/>
      <c r="VEQ5" s="94"/>
      <c r="VER5" s="94"/>
      <c r="VES5" s="94"/>
      <c r="VET5" s="94"/>
      <c r="VEU5" s="94"/>
      <c r="VEV5" s="94"/>
      <c r="VEW5" s="94"/>
      <c r="VEX5" s="94"/>
      <c r="VEY5" s="94"/>
      <c r="VEZ5" s="94"/>
      <c r="VFA5" s="94"/>
      <c r="VFB5" s="94"/>
      <c r="VFC5" s="94"/>
      <c r="VFD5" s="94"/>
      <c r="VFE5" s="94"/>
      <c r="VFF5" s="94"/>
      <c r="VFG5" s="94"/>
      <c r="VFH5" s="94"/>
      <c r="VFI5" s="94"/>
      <c r="VFJ5" s="94"/>
      <c r="VFK5" s="94"/>
      <c r="VFL5" s="94"/>
      <c r="VFM5" s="94"/>
      <c r="VFN5" s="94"/>
      <c r="VFO5" s="94"/>
      <c r="VFP5" s="94"/>
      <c r="VFQ5" s="94"/>
      <c r="VFR5" s="94"/>
      <c r="VFS5" s="94"/>
      <c r="VFT5" s="94"/>
      <c r="VFU5" s="94"/>
      <c r="VFV5" s="94"/>
      <c r="VFW5" s="94"/>
      <c r="VFX5" s="94"/>
      <c r="VFY5" s="94"/>
      <c r="VFZ5" s="94"/>
      <c r="VGA5" s="94"/>
      <c r="VGB5" s="94"/>
      <c r="VGC5" s="94"/>
      <c r="VGD5" s="94"/>
      <c r="VGE5" s="94"/>
      <c r="VGF5" s="94"/>
      <c r="VGG5" s="94"/>
      <c r="VGH5" s="94"/>
      <c r="VGI5" s="94"/>
      <c r="VGJ5" s="94"/>
      <c r="VGK5" s="94"/>
      <c r="VGL5" s="94"/>
      <c r="VGM5" s="94"/>
      <c r="VGN5" s="94"/>
      <c r="VGO5" s="94"/>
      <c r="VGP5" s="94"/>
      <c r="VGQ5" s="94"/>
      <c r="VGR5" s="94"/>
      <c r="VGS5" s="94"/>
      <c r="VGT5" s="94"/>
      <c r="VGU5" s="94"/>
      <c r="VGV5" s="94"/>
      <c r="VGW5" s="94"/>
      <c r="VGX5" s="94"/>
      <c r="VGY5" s="94"/>
      <c r="VGZ5" s="94"/>
      <c r="VHA5" s="94"/>
      <c r="VHB5" s="94"/>
      <c r="VHC5" s="94"/>
      <c r="VHD5" s="94"/>
      <c r="VHE5" s="94"/>
      <c r="VHF5" s="94"/>
      <c r="VHG5" s="94"/>
      <c r="VHH5" s="94"/>
      <c r="VHI5" s="94"/>
      <c r="VHJ5" s="94"/>
      <c r="VHK5" s="94"/>
      <c r="VHL5" s="94"/>
      <c r="VHM5" s="94"/>
      <c r="VHN5" s="94"/>
      <c r="VHO5" s="94"/>
      <c r="VHP5" s="94"/>
      <c r="VHQ5" s="94"/>
      <c r="VHR5" s="94"/>
      <c r="VHS5" s="94"/>
      <c r="VHT5" s="94"/>
      <c r="VHU5" s="94"/>
      <c r="VHV5" s="94"/>
      <c r="VHW5" s="94"/>
      <c r="VHX5" s="94"/>
      <c r="VHY5" s="94"/>
      <c r="VHZ5" s="94"/>
      <c r="VIA5" s="94"/>
      <c r="VIB5" s="94"/>
      <c r="VIC5" s="94"/>
      <c r="VID5" s="94"/>
      <c r="VIE5" s="94"/>
      <c r="VIF5" s="94"/>
      <c r="VIG5" s="94"/>
      <c r="VIH5" s="94"/>
      <c r="VII5" s="94"/>
      <c r="VIJ5" s="94"/>
      <c r="VIK5" s="94"/>
      <c r="VIL5" s="94"/>
      <c r="VIM5" s="94"/>
      <c r="VIN5" s="94"/>
      <c r="VIO5" s="94"/>
      <c r="VIP5" s="94"/>
      <c r="VIQ5" s="94"/>
      <c r="VIR5" s="94"/>
      <c r="VIS5" s="94"/>
      <c r="VIT5" s="94"/>
      <c r="VIU5" s="94"/>
      <c r="VIV5" s="94"/>
      <c r="VIW5" s="94"/>
      <c r="VIX5" s="94"/>
      <c r="VIY5" s="94"/>
      <c r="VIZ5" s="94"/>
      <c r="VJA5" s="94"/>
      <c r="VJB5" s="94"/>
      <c r="VJC5" s="94"/>
      <c r="VJD5" s="94"/>
      <c r="VJE5" s="94"/>
      <c r="VJF5" s="94"/>
      <c r="VJG5" s="94"/>
      <c r="VJH5" s="94"/>
      <c r="VJI5" s="94"/>
      <c r="VJJ5" s="94"/>
      <c r="VJK5" s="94"/>
      <c r="VJL5" s="94"/>
      <c r="VJM5" s="94"/>
      <c r="VJN5" s="94"/>
      <c r="VJO5" s="94"/>
      <c r="VJP5" s="94"/>
      <c r="VJQ5" s="94"/>
      <c r="VJR5" s="94"/>
      <c r="VJS5" s="94"/>
      <c r="VJT5" s="94"/>
      <c r="VJU5" s="94"/>
      <c r="VJV5" s="94"/>
      <c r="VJW5" s="94"/>
      <c r="VJX5" s="94"/>
      <c r="VJY5" s="94"/>
      <c r="VJZ5" s="94"/>
      <c r="VKA5" s="94"/>
      <c r="VKB5" s="94"/>
      <c r="VKC5" s="94"/>
      <c r="VKD5" s="94"/>
      <c r="VKE5" s="94"/>
      <c r="VKF5" s="94"/>
      <c r="VKG5" s="94"/>
      <c r="VKH5" s="94"/>
      <c r="VKI5" s="94"/>
      <c r="VKJ5" s="94"/>
      <c r="VKK5" s="94"/>
      <c r="VKL5" s="94"/>
      <c r="VKM5" s="94"/>
      <c r="VKN5" s="94"/>
      <c r="VKO5" s="94"/>
      <c r="VKP5" s="94"/>
      <c r="VKQ5" s="94"/>
      <c r="VKR5" s="94"/>
      <c r="VKS5" s="94"/>
      <c r="VKT5" s="94"/>
      <c r="VKU5" s="94"/>
      <c r="VKV5" s="94"/>
      <c r="VKW5" s="94"/>
      <c r="VKX5" s="94"/>
      <c r="VKY5" s="94"/>
      <c r="VKZ5" s="94"/>
      <c r="VLA5" s="94"/>
      <c r="VLB5" s="94"/>
      <c r="VLC5" s="94"/>
      <c r="VLD5" s="94"/>
      <c r="VLE5" s="94"/>
      <c r="VLF5" s="94"/>
      <c r="VLG5" s="94"/>
      <c r="VLH5" s="94"/>
      <c r="VLI5" s="94"/>
      <c r="VLJ5" s="94"/>
      <c r="VLK5" s="94"/>
      <c r="VLL5" s="94"/>
      <c r="VLM5" s="94"/>
      <c r="VLN5" s="94"/>
      <c r="VLO5" s="94"/>
      <c r="VLP5" s="94"/>
      <c r="VLQ5" s="94"/>
      <c r="VLR5" s="94"/>
      <c r="VLS5" s="94"/>
      <c r="VLT5" s="94"/>
      <c r="VLU5" s="94"/>
      <c r="VLV5" s="94"/>
      <c r="VLW5" s="94"/>
      <c r="VLX5" s="94"/>
      <c r="VLY5" s="94"/>
      <c r="VLZ5" s="94"/>
      <c r="VMA5" s="94"/>
      <c r="VMB5" s="94"/>
      <c r="VMC5" s="94"/>
      <c r="VMD5" s="94"/>
      <c r="VME5" s="94"/>
      <c r="VMF5" s="94"/>
      <c r="VMG5" s="94"/>
      <c r="VMH5" s="94"/>
      <c r="VMI5" s="94"/>
      <c r="VMJ5" s="94"/>
      <c r="VMK5" s="94"/>
      <c r="VML5" s="94"/>
      <c r="VMM5" s="94"/>
      <c r="VMN5" s="94"/>
      <c r="VMO5" s="94"/>
      <c r="VMP5" s="94"/>
      <c r="VMQ5" s="94"/>
      <c r="VMR5" s="94"/>
      <c r="VMS5" s="94"/>
      <c r="VMT5" s="94"/>
      <c r="VMU5" s="94"/>
      <c r="VMV5" s="94"/>
      <c r="VMW5" s="94"/>
      <c r="VMX5" s="94"/>
      <c r="VMY5" s="94"/>
      <c r="VMZ5" s="94"/>
      <c r="VNA5" s="94"/>
      <c r="VNB5" s="94"/>
      <c r="VNC5" s="94"/>
      <c r="VND5" s="94"/>
      <c r="VNE5" s="94"/>
      <c r="VNF5" s="94"/>
      <c r="VNG5" s="94"/>
      <c r="VNH5" s="94"/>
      <c r="VNI5" s="94"/>
      <c r="VNJ5" s="94"/>
      <c r="VNK5" s="94"/>
      <c r="VNL5" s="94"/>
      <c r="VNM5" s="94"/>
      <c r="VNN5" s="94"/>
      <c r="VNO5" s="94"/>
      <c r="VNP5" s="94"/>
      <c r="VNQ5" s="94"/>
      <c r="VNR5" s="94"/>
      <c r="VNS5" s="94"/>
      <c r="VNT5" s="94"/>
      <c r="VNU5" s="94"/>
      <c r="VNV5" s="94"/>
      <c r="VNW5" s="94"/>
      <c r="VNX5" s="94"/>
      <c r="VNY5" s="94"/>
      <c r="VNZ5" s="94"/>
      <c r="VOA5" s="94"/>
      <c r="VOB5" s="94"/>
      <c r="VOC5" s="94"/>
      <c r="VOD5" s="94"/>
      <c r="VOE5" s="94"/>
      <c r="VOF5" s="94"/>
      <c r="VOG5" s="94"/>
      <c r="VOH5" s="94"/>
      <c r="VOI5" s="94"/>
      <c r="VOJ5" s="94"/>
      <c r="VOK5" s="94"/>
      <c r="VOL5" s="94"/>
      <c r="VOM5" s="94"/>
      <c r="VON5" s="94"/>
      <c r="VOO5" s="94"/>
      <c r="VOP5" s="94"/>
      <c r="VOQ5" s="94"/>
      <c r="VOR5" s="94"/>
      <c r="VOS5" s="94"/>
      <c r="VOT5" s="94"/>
      <c r="VOU5" s="94"/>
      <c r="VOV5" s="94"/>
      <c r="VOW5" s="94"/>
      <c r="VOX5" s="94"/>
      <c r="VOY5" s="94"/>
      <c r="VOZ5" s="94"/>
      <c r="VPA5" s="94"/>
      <c r="VPB5" s="94"/>
      <c r="VPC5" s="94"/>
      <c r="VPD5" s="94"/>
      <c r="VPE5" s="94"/>
      <c r="VPF5" s="94"/>
      <c r="VPG5" s="94"/>
      <c r="VPH5" s="94"/>
      <c r="VPI5" s="94"/>
      <c r="VPJ5" s="94"/>
      <c r="VPK5" s="94"/>
      <c r="VPL5" s="94"/>
      <c r="VPM5" s="94"/>
      <c r="VPN5" s="94"/>
      <c r="VPO5" s="94"/>
      <c r="VPP5" s="94"/>
      <c r="VPQ5" s="94"/>
      <c r="VPR5" s="94"/>
      <c r="VPS5" s="94"/>
      <c r="VPT5" s="94"/>
      <c r="VPU5" s="94"/>
      <c r="VPV5" s="94"/>
      <c r="VPW5" s="94"/>
      <c r="VPX5" s="94"/>
      <c r="VPY5" s="94"/>
      <c r="VPZ5" s="94"/>
      <c r="VQA5" s="94"/>
      <c r="VQB5" s="94"/>
      <c r="VQC5" s="94"/>
      <c r="VQD5" s="94"/>
      <c r="VQE5" s="94"/>
      <c r="VQF5" s="94"/>
      <c r="VQG5" s="94"/>
      <c r="VQH5" s="94"/>
      <c r="VQI5" s="94"/>
      <c r="VQJ5" s="94"/>
      <c r="VQK5" s="94"/>
      <c r="VQL5" s="94"/>
      <c r="VQM5" s="94"/>
      <c r="VQN5" s="94"/>
      <c r="VQO5" s="94"/>
      <c r="VQP5" s="94"/>
      <c r="VQQ5" s="94"/>
      <c r="VQR5" s="94"/>
      <c r="VQS5" s="94"/>
      <c r="VQT5" s="94"/>
      <c r="VQU5" s="94"/>
      <c r="VQV5" s="94"/>
      <c r="VQW5" s="94"/>
      <c r="VQX5" s="94"/>
      <c r="VQY5" s="94"/>
      <c r="VQZ5" s="94"/>
      <c r="VRA5" s="94"/>
      <c r="VRB5" s="94"/>
      <c r="VRC5" s="94"/>
      <c r="VRD5" s="94"/>
      <c r="VRE5" s="94"/>
      <c r="VRF5" s="94"/>
      <c r="VRG5" s="94"/>
      <c r="VRH5" s="94"/>
      <c r="VRI5" s="94"/>
      <c r="VRJ5" s="94"/>
      <c r="VRK5" s="94"/>
      <c r="VRL5" s="94"/>
      <c r="VRM5" s="94"/>
      <c r="VRN5" s="94"/>
      <c r="VRO5" s="94"/>
      <c r="VRP5" s="94"/>
      <c r="VRQ5" s="94"/>
      <c r="VRR5" s="94"/>
      <c r="VRS5" s="94"/>
      <c r="VRT5" s="94"/>
      <c r="VRU5" s="94"/>
      <c r="VRV5" s="94"/>
      <c r="VRW5" s="94"/>
      <c r="VRX5" s="94"/>
      <c r="VRY5" s="94"/>
      <c r="VRZ5" s="94"/>
      <c r="VSA5" s="94"/>
      <c r="VSB5" s="94"/>
      <c r="VSC5" s="94"/>
      <c r="VSD5" s="94"/>
      <c r="VSE5" s="94"/>
      <c r="VSF5" s="94"/>
      <c r="VSG5" s="94"/>
      <c r="VSH5" s="94"/>
      <c r="VSI5" s="94"/>
      <c r="VSJ5" s="94"/>
      <c r="VSK5" s="94"/>
      <c r="VSL5" s="94"/>
      <c r="VSM5" s="94"/>
      <c r="VSN5" s="94"/>
      <c r="VSO5" s="94"/>
      <c r="VSP5" s="94"/>
      <c r="VSQ5" s="94"/>
      <c r="VSR5" s="94"/>
      <c r="VSS5" s="94"/>
      <c r="VST5" s="94"/>
      <c r="VSU5" s="94"/>
      <c r="VSV5" s="94"/>
      <c r="VSW5" s="94"/>
      <c r="VSX5" s="94"/>
      <c r="VSY5" s="94"/>
      <c r="VSZ5" s="94"/>
      <c r="VTA5" s="94"/>
      <c r="VTB5" s="94"/>
      <c r="VTC5" s="94"/>
      <c r="VTD5" s="94"/>
      <c r="VTE5" s="94"/>
      <c r="VTF5" s="94"/>
      <c r="VTG5" s="94"/>
      <c r="VTH5" s="94"/>
      <c r="VTI5" s="94"/>
      <c r="VTJ5" s="94"/>
      <c r="VTK5" s="94"/>
      <c r="VTL5" s="94"/>
      <c r="VTM5" s="94"/>
      <c r="VTN5" s="94"/>
      <c r="VTO5" s="94"/>
      <c r="VTP5" s="94"/>
      <c r="VTQ5" s="94"/>
      <c r="VTR5" s="94"/>
      <c r="VTS5" s="94"/>
      <c r="VTT5" s="94"/>
      <c r="VTU5" s="94"/>
      <c r="VTV5" s="94"/>
      <c r="VTW5" s="94"/>
      <c r="VTX5" s="94"/>
      <c r="VTY5" s="94"/>
      <c r="VTZ5" s="94"/>
      <c r="VUA5" s="94"/>
      <c r="VUB5" s="94"/>
      <c r="VUC5" s="94"/>
      <c r="VUD5" s="94"/>
      <c r="VUE5" s="94"/>
      <c r="VUF5" s="94"/>
      <c r="VUG5" s="94"/>
      <c r="VUH5" s="94"/>
      <c r="VUI5" s="94"/>
      <c r="VUJ5" s="94"/>
      <c r="VUK5" s="94"/>
      <c r="VUL5" s="94"/>
      <c r="VUM5" s="94"/>
      <c r="VUN5" s="94"/>
      <c r="VUO5" s="94"/>
      <c r="VUP5" s="94"/>
      <c r="VUQ5" s="94"/>
      <c r="VUR5" s="94"/>
      <c r="VUS5" s="94"/>
      <c r="VUT5" s="94"/>
      <c r="VUU5" s="94"/>
      <c r="VUV5" s="94"/>
      <c r="VUW5" s="94"/>
      <c r="VUX5" s="94"/>
      <c r="VUY5" s="94"/>
      <c r="VUZ5" s="94"/>
      <c r="VVA5" s="94"/>
      <c r="VVB5" s="94"/>
      <c r="VVC5" s="94"/>
      <c r="VVD5" s="94"/>
      <c r="VVE5" s="94"/>
      <c r="VVF5" s="94"/>
      <c r="VVG5" s="94"/>
      <c r="VVH5" s="94"/>
      <c r="VVI5" s="94"/>
      <c r="VVJ5" s="94"/>
      <c r="VVK5" s="94"/>
      <c r="VVL5" s="94"/>
      <c r="VVM5" s="94"/>
      <c r="VVN5" s="94"/>
      <c r="VVO5" s="94"/>
      <c r="VVP5" s="94"/>
      <c r="VVQ5" s="94"/>
      <c r="VVR5" s="94"/>
      <c r="VVS5" s="94"/>
      <c r="VVT5" s="94"/>
      <c r="VVU5" s="94"/>
      <c r="VVV5" s="94"/>
      <c r="VVW5" s="94"/>
      <c r="VVX5" s="94"/>
      <c r="VVY5" s="94"/>
      <c r="VVZ5" s="94"/>
      <c r="VWA5" s="94"/>
      <c r="VWB5" s="94"/>
      <c r="VWC5" s="94"/>
      <c r="VWD5" s="94"/>
      <c r="VWE5" s="94"/>
      <c r="VWF5" s="94"/>
      <c r="VWG5" s="94"/>
      <c r="VWH5" s="94"/>
      <c r="VWI5" s="94"/>
      <c r="VWJ5" s="94"/>
      <c r="VWK5" s="94"/>
      <c r="VWL5" s="94"/>
      <c r="VWM5" s="94"/>
      <c r="VWN5" s="94"/>
      <c r="VWO5" s="94"/>
      <c r="VWP5" s="94"/>
      <c r="VWQ5" s="94"/>
      <c r="VWR5" s="94"/>
      <c r="VWS5" s="94"/>
      <c r="VWT5" s="94"/>
      <c r="VWU5" s="94"/>
      <c r="VWV5" s="94"/>
      <c r="VWW5" s="94"/>
      <c r="VWX5" s="94"/>
      <c r="VWY5" s="94"/>
      <c r="VWZ5" s="94"/>
      <c r="VXA5" s="94"/>
      <c r="VXB5" s="94"/>
      <c r="VXC5" s="94"/>
      <c r="VXD5" s="94"/>
      <c r="VXE5" s="94"/>
      <c r="VXF5" s="94"/>
      <c r="VXG5" s="94"/>
      <c r="VXH5" s="94"/>
      <c r="VXI5" s="94"/>
      <c r="VXJ5" s="94"/>
      <c r="VXK5" s="94"/>
      <c r="VXL5" s="94"/>
      <c r="VXM5" s="94"/>
      <c r="VXN5" s="94"/>
      <c r="VXO5" s="94"/>
      <c r="VXP5" s="94"/>
      <c r="VXQ5" s="94"/>
      <c r="VXR5" s="94"/>
      <c r="VXS5" s="94"/>
      <c r="VXT5" s="94"/>
      <c r="VXU5" s="94"/>
      <c r="VXV5" s="94"/>
      <c r="VXW5" s="94"/>
      <c r="VXX5" s="94"/>
      <c r="VXY5" s="94"/>
      <c r="VXZ5" s="94"/>
      <c r="VYA5" s="94"/>
      <c r="VYB5" s="94"/>
      <c r="VYC5" s="94"/>
      <c r="VYD5" s="94"/>
      <c r="VYE5" s="94"/>
      <c r="VYF5" s="94"/>
      <c r="VYG5" s="94"/>
      <c r="VYH5" s="94"/>
      <c r="VYI5" s="94"/>
      <c r="VYJ5" s="94"/>
      <c r="VYK5" s="94"/>
      <c r="VYL5" s="94"/>
      <c r="VYM5" s="94"/>
      <c r="VYN5" s="94"/>
      <c r="VYO5" s="94"/>
      <c r="VYP5" s="94"/>
      <c r="VYQ5" s="94"/>
      <c r="VYR5" s="94"/>
      <c r="VYS5" s="94"/>
      <c r="VYT5" s="94"/>
      <c r="VYU5" s="94"/>
      <c r="VYV5" s="94"/>
      <c r="VYW5" s="94"/>
      <c r="VYX5" s="94"/>
      <c r="VYY5" s="94"/>
      <c r="VYZ5" s="94"/>
      <c r="VZA5" s="94"/>
      <c r="VZB5" s="94"/>
      <c r="VZC5" s="94"/>
      <c r="VZD5" s="94"/>
      <c r="VZE5" s="94"/>
      <c r="VZF5" s="94"/>
      <c r="VZG5" s="94"/>
      <c r="VZH5" s="94"/>
      <c r="VZI5" s="94"/>
      <c r="VZJ5" s="94"/>
      <c r="VZK5" s="94"/>
      <c r="VZL5" s="94"/>
      <c r="VZM5" s="94"/>
      <c r="VZN5" s="94"/>
      <c r="VZO5" s="94"/>
      <c r="VZP5" s="94"/>
      <c r="VZQ5" s="94"/>
      <c r="VZR5" s="94"/>
      <c r="VZS5" s="94"/>
      <c r="VZT5" s="94"/>
      <c r="VZU5" s="94"/>
      <c r="VZV5" s="94"/>
      <c r="VZW5" s="94"/>
      <c r="VZX5" s="94"/>
      <c r="VZY5" s="94"/>
      <c r="VZZ5" s="94"/>
      <c r="WAA5" s="94"/>
      <c r="WAB5" s="94"/>
      <c r="WAC5" s="94"/>
      <c r="WAD5" s="94"/>
      <c r="WAE5" s="94"/>
      <c r="WAF5" s="94"/>
      <c r="WAG5" s="94"/>
      <c r="WAH5" s="94"/>
      <c r="WAI5" s="94"/>
      <c r="WAJ5" s="94"/>
      <c r="WAK5" s="94"/>
      <c r="WAL5" s="94"/>
      <c r="WAM5" s="94"/>
      <c r="WAN5" s="94"/>
      <c r="WAO5" s="94"/>
      <c r="WAP5" s="94"/>
      <c r="WAQ5" s="94"/>
      <c r="WAR5" s="94"/>
      <c r="WAS5" s="94"/>
      <c r="WAT5" s="94"/>
      <c r="WAU5" s="94"/>
      <c r="WAV5" s="94"/>
      <c r="WAW5" s="94"/>
      <c r="WAX5" s="94"/>
      <c r="WAY5" s="94"/>
      <c r="WAZ5" s="94"/>
      <c r="WBA5" s="94"/>
      <c r="WBB5" s="94"/>
      <c r="WBC5" s="94"/>
      <c r="WBD5" s="94"/>
      <c r="WBE5" s="94"/>
      <c r="WBF5" s="94"/>
      <c r="WBG5" s="94"/>
      <c r="WBH5" s="94"/>
      <c r="WBI5" s="94"/>
      <c r="WBJ5" s="94"/>
      <c r="WBK5" s="94"/>
      <c r="WBL5" s="94"/>
      <c r="WBM5" s="94"/>
      <c r="WBN5" s="94"/>
      <c r="WBO5" s="94"/>
      <c r="WBP5" s="94"/>
      <c r="WBQ5" s="94"/>
      <c r="WBR5" s="94"/>
      <c r="WBS5" s="94"/>
      <c r="WBT5" s="94"/>
      <c r="WBU5" s="94"/>
      <c r="WBV5" s="94"/>
      <c r="WBW5" s="94"/>
      <c r="WBX5" s="94"/>
      <c r="WBY5" s="94"/>
      <c r="WBZ5" s="94"/>
      <c r="WCA5" s="94"/>
      <c r="WCB5" s="94"/>
      <c r="WCC5" s="94"/>
      <c r="WCD5" s="94"/>
      <c r="WCE5" s="94"/>
      <c r="WCF5" s="94"/>
      <c r="WCG5" s="94"/>
      <c r="WCH5" s="94"/>
      <c r="WCI5" s="94"/>
      <c r="WCJ5" s="94"/>
      <c r="WCK5" s="94"/>
      <c r="WCL5" s="94"/>
      <c r="WCM5" s="94"/>
      <c r="WCN5" s="94"/>
      <c r="WCO5" s="94"/>
      <c r="WCP5" s="94"/>
      <c r="WCQ5" s="94"/>
      <c r="WCR5" s="94"/>
      <c r="WCS5" s="94"/>
      <c r="WCT5" s="94"/>
      <c r="WCU5" s="94"/>
      <c r="WCV5" s="94"/>
      <c r="WCW5" s="94"/>
      <c r="WCX5" s="94"/>
      <c r="WCY5" s="94"/>
      <c r="WCZ5" s="94"/>
      <c r="WDA5" s="94"/>
      <c r="WDB5" s="94"/>
      <c r="WDC5" s="94"/>
      <c r="WDD5" s="94"/>
      <c r="WDE5" s="94"/>
      <c r="WDF5" s="94"/>
      <c r="WDG5" s="94"/>
      <c r="WDH5" s="94"/>
      <c r="WDI5" s="94"/>
      <c r="WDJ5" s="94"/>
      <c r="WDK5" s="94"/>
      <c r="WDL5" s="94"/>
      <c r="WDM5" s="94"/>
      <c r="WDN5" s="94"/>
      <c r="WDO5" s="94"/>
      <c r="WDP5" s="94"/>
      <c r="WDQ5" s="94"/>
      <c r="WDR5" s="94"/>
      <c r="WDS5" s="94"/>
      <c r="WDT5" s="94"/>
      <c r="WDU5" s="94"/>
      <c r="WDV5" s="94"/>
      <c r="WDW5" s="94"/>
      <c r="WDX5" s="94"/>
      <c r="WDY5" s="94"/>
      <c r="WDZ5" s="94"/>
      <c r="WEA5" s="94"/>
      <c r="WEB5" s="94"/>
      <c r="WEC5" s="94"/>
      <c r="WED5" s="94"/>
      <c r="WEE5" s="94"/>
      <c r="WEF5" s="94"/>
      <c r="WEG5" s="94"/>
      <c r="WEH5" s="94"/>
      <c r="WEI5" s="94"/>
      <c r="WEJ5" s="94"/>
      <c r="WEK5" s="94"/>
      <c r="WEL5" s="94"/>
      <c r="WEM5" s="94"/>
      <c r="WEN5" s="94"/>
      <c r="WEO5" s="94"/>
      <c r="WEP5" s="94"/>
      <c r="WEQ5" s="94"/>
      <c r="WER5" s="94"/>
      <c r="WES5" s="94"/>
      <c r="WET5" s="94"/>
      <c r="WEU5" s="94"/>
      <c r="WEV5" s="94"/>
      <c r="WEW5" s="94"/>
      <c r="WEX5" s="94"/>
      <c r="WEY5" s="94"/>
      <c r="WEZ5" s="94"/>
      <c r="WFA5" s="94"/>
      <c r="WFB5" s="94"/>
      <c r="WFC5" s="94"/>
      <c r="WFD5" s="94"/>
      <c r="WFE5" s="94"/>
      <c r="WFF5" s="94"/>
      <c r="WFG5" s="94"/>
      <c r="WFH5" s="94"/>
      <c r="WFI5" s="94"/>
      <c r="WFJ5" s="94"/>
      <c r="WFK5" s="94"/>
      <c r="WFL5" s="94"/>
      <c r="WFM5" s="94"/>
      <c r="WFN5" s="94"/>
      <c r="WFO5" s="94"/>
      <c r="WFP5" s="94"/>
      <c r="WFQ5" s="94"/>
      <c r="WFR5" s="94"/>
      <c r="WFS5" s="94"/>
      <c r="WFT5" s="94"/>
      <c r="WFU5" s="94"/>
      <c r="WFV5" s="94"/>
      <c r="WFW5" s="94"/>
      <c r="WFX5" s="94"/>
      <c r="WFY5" s="94"/>
      <c r="WFZ5" s="94"/>
      <c r="WGA5" s="94"/>
      <c r="WGB5" s="94"/>
      <c r="WGC5" s="94"/>
      <c r="WGD5" s="94"/>
      <c r="WGE5" s="94"/>
      <c r="WGF5" s="94"/>
      <c r="WGG5" s="94"/>
      <c r="WGH5" s="94"/>
      <c r="WGI5" s="94"/>
      <c r="WGJ5" s="94"/>
      <c r="WGK5" s="94"/>
      <c r="WGL5" s="94"/>
      <c r="WGM5" s="94"/>
      <c r="WGN5" s="94"/>
      <c r="WGO5" s="94"/>
      <c r="WGP5" s="94"/>
      <c r="WGQ5" s="94"/>
      <c r="WGR5" s="94"/>
      <c r="WGS5" s="94"/>
      <c r="WGT5" s="94"/>
      <c r="WGU5" s="94"/>
      <c r="WGV5" s="94"/>
      <c r="WGW5" s="94"/>
      <c r="WGX5" s="94"/>
      <c r="WGY5" s="94"/>
      <c r="WGZ5" s="94"/>
      <c r="WHA5" s="94"/>
      <c r="WHB5" s="94"/>
      <c r="WHC5" s="94"/>
      <c r="WHD5" s="94"/>
      <c r="WHE5" s="94"/>
      <c r="WHF5" s="94"/>
      <c r="WHG5" s="94"/>
      <c r="WHH5" s="94"/>
      <c r="WHI5" s="94"/>
      <c r="WHJ5" s="94"/>
      <c r="WHK5" s="94"/>
      <c r="WHL5" s="94"/>
      <c r="WHM5" s="94"/>
      <c r="WHN5" s="94"/>
      <c r="WHO5" s="94"/>
      <c r="WHP5" s="94"/>
      <c r="WHQ5" s="94"/>
      <c r="WHR5" s="94"/>
      <c r="WHS5" s="94"/>
      <c r="WHT5" s="94"/>
      <c r="WHU5" s="94"/>
      <c r="WHV5" s="94"/>
      <c r="WHW5" s="94"/>
      <c r="WHX5" s="94"/>
      <c r="WHY5" s="94"/>
      <c r="WHZ5" s="94"/>
      <c r="WIA5" s="94"/>
      <c r="WIB5" s="94"/>
      <c r="WIC5" s="94"/>
      <c r="WID5" s="94"/>
      <c r="WIE5" s="94"/>
      <c r="WIF5" s="94"/>
      <c r="WIG5" s="94"/>
      <c r="WIH5" s="94"/>
      <c r="WII5" s="94"/>
      <c r="WIJ5" s="94"/>
      <c r="WIK5" s="94"/>
      <c r="WIL5" s="94"/>
      <c r="WIM5" s="94"/>
      <c r="WIN5" s="94"/>
      <c r="WIO5" s="94"/>
      <c r="WIP5" s="94"/>
      <c r="WIQ5" s="94"/>
      <c r="WIR5" s="94"/>
      <c r="WIS5" s="94"/>
      <c r="WIT5" s="94"/>
      <c r="WIU5" s="94"/>
      <c r="WIV5" s="94"/>
      <c r="WIW5" s="94"/>
      <c r="WIX5" s="94"/>
      <c r="WIY5" s="94"/>
      <c r="WIZ5" s="94"/>
      <c r="WJA5" s="94"/>
      <c r="WJB5" s="94"/>
      <c r="WJC5" s="94"/>
      <c r="WJD5" s="94"/>
      <c r="WJE5" s="94"/>
      <c r="WJF5" s="94"/>
      <c r="WJG5" s="94"/>
      <c r="WJH5" s="94"/>
      <c r="WJI5" s="94"/>
      <c r="WJJ5" s="94"/>
      <c r="WJK5" s="94"/>
      <c r="WJL5" s="94"/>
      <c r="WJM5" s="94"/>
      <c r="WJN5" s="94"/>
      <c r="WJO5" s="94"/>
      <c r="WJP5" s="94"/>
      <c r="WJQ5" s="94"/>
      <c r="WJR5" s="94"/>
      <c r="WJS5" s="94"/>
      <c r="WJT5" s="94"/>
      <c r="WJU5" s="94"/>
      <c r="WJV5" s="94"/>
      <c r="WJW5" s="94"/>
      <c r="WJX5" s="94"/>
      <c r="WJY5" s="94"/>
      <c r="WJZ5" s="94"/>
      <c r="WKA5" s="94"/>
      <c r="WKB5" s="94"/>
      <c r="WKC5" s="94"/>
      <c r="WKD5" s="94"/>
      <c r="WKE5" s="94"/>
      <c r="WKF5" s="94"/>
      <c r="WKG5" s="94"/>
      <c r="WKH5" s="94"/>
      <c r="WKI5" s="94"/>
      <c r="WKJ5" s="94"/>
      <c r="WKK5" s="94"/>
      <c r="WKL5" s="94"/>
      <c r="WKM5" s="94"/>
      <c r="WKN5" s="94"/>
      <c r="WKO5" s="94"/>
      <c r="WKP5" s="94"/>
      <c r="WKQ5" s="94"/>
      <c r="WKR5" s="94"/>
      <c r="WKS5" s="94"/>
      <c r="WKT5" s="94"/>
      <c r="WKU5" s="94"/>
      <c r="WKV5" s="94"/>
      <c r="WKW5" s="94"/>
      <c r="WKX5" s="94"/>
      <c r="WKY5" s="94"/>
      <c r="WKZ5" s="94"/>
      <c r="WLA5" s="94"/>
      <c r="WLB5" s="94"/>
      <c r="WLC5" s="94"/>
      <c r="WLD5" s="94"/>
      <c r="WLE5" s="94"/>
      <c r="WLF5" s="94"/>
      <c r="WLG5" s="94"/>
      <c r="WLH5" s="94"/>
      <c r="WLI5" s="94"/>
      <c r="WLJ5" s="94"/>
      <c r="WLK5" s="94"/>
      <c r="WLL5" s="94"/>
      <c r="WLM5" s="94"/>
      <c r="WLN5" s="94"/>
      <c r="WLO5" s="94"/>
      <c r="WLP5" s="94"/>
      <c r="WLQ5" s="94"/>
      <c r="WLR5" s="94"/>
      <c r="WLS5" s="94"/>
      <c r="WLT5" s="94"/>
      <c r="WLU5" s="94"/>
      <c r="WLV5" s="94"/>
      <c r="WLW5" s="94"/>
      <c r="WLX5" s="94"/>
      <c r="WLY5" s="94"/>
      <c r="WLZ5" s="94"/>
      <c r="WMA5" s="94"/>
      <c r="WMB5" s="94"/>
      <c r="WMC5" s="94"/>
      <c r="WMD5" s="94"/>
      <c r="WME5" s="94"/>
      <c r="WMF5" s="94"/>
      <c r="WMG5" s="94"/>
      <c r="WMH5" s="94"/>
      <c r="WMI5" s="94"/>
      <c r="WMJ5" s="94"/>
      <c r="WMK5" s="94"/>
      <c r="WML5" s="94"/>
      <c r="WMM5" s="94"/>
      <c r="WMN5" s="94"/>
      <c r="WMO5" s="94"/>
      <c r="WMP5" s="94"/>
      <c r="WMQ5" s="94"/>
      <c r="WMR5" s="94"/>
      <c r="WMS5" s="94"/>
      <c r="WMT5" s="94"/>
      <c r="WMU5" s="94"/>
      <c r="WMV5" s="94"/>
      <c r="WMW5" s="94"/>
      <c r="WMX5" s="94"/>
      <c r="WMY5" s="94"/>
      <c r="WMZ5" s="94"/>
      <c r="WNA5" s="94"/>
      <c r="WNB5" s="94"/>
      <c r="WNC5" s="94"/>
      <c r="WND5" s="94"/>
      <c r="WNE5" s="94"/>
      <c r="WNF5" s="94"/>
      <c r="WNG5" s="94"/>
      <c r="WNH5" s="94"/>
      <c r="WNI5" s="94"/>
      <c r="WNJ5" s="94"/>
      <c r="WNK5" s="94"/>
      <c r="WNL5" s="94"/>
      <c r="WNM5" s="94"/>
      <c r="WNN5" s="94"/>
      <c r="WNO5" s="94"/>
      <c r="WNP5" s="94"/>
      <c r="WNQ5" s="94"/>
      <c r="WNR5" s="94"/>
      <c r="WNS5" s="94"/>
      <c r="WNT5" s="94"/>
      <c r="WNU5" s="94"/>
      <c r="WNV5" s="94"/>
      <c r="WNW5" s="94"/>
      <c r="WNX5" s="94"/>
      <c r="WNY5" s="94"/>
      <c r="WNZ5" s="94"/>
      <c r="WOA5" s="94"/>
      <c r="WOB5" s="94"/>
      <c r="WOC5" s="94"/>
      <c r="WOD5" s="94"/>
      <c r="WOE5" s="94"/>
      <c r="WOF5" s="94"/>
      <c r="WOG5" s="94"/>
      <c r="WOH5" s="94"/>
      <c r="WOI5" s="94"/>
      <c r="WOJ5" s="94"/>
      <c r="WOK5" s="94"/>
      <c r="WOL5" s="94"/>
      <c r="WOM5" s="94"/>
      <c r="WON5" s="94"/>
      <c r="WOO5" s="94"/>
      <c r="WOP5" s="94"/>
      <c r="WOQ5" s="94"/>
      <c r="WOR5" s="94"/>
      <c r="WOS5" s="94"/>
      <c r="WOT5" s="94"/>
      <c r="WOU5" s="94"/>
      <c r="WOV5" s="94"/>
      <c r="WOW5" s="94"/>
      <c r="WOX5" s="94"/>
      <c r="WOY5" s="94"/>
      <c r="WOZ5" s="94"/>
      <c r="WPA5" s="94"/>
      <c r="WPB5" s="94"/>
      <c r="WPC5" s="94"/>
      <c r="WPD5" s="94"/>
      <c r="WPE5" s="94"/>
      <c r="WPF5" s="94"/>
      <c r="WPG5" s="94"/>
      <c r="WPH5" s="94"/>
      <c r="WPI5" s="94"/>
      <c r="WPJ5" s="94"/>
      <c r="WPK5" s="94"/>
      <c r="WPL5" s="94"/>
      <c r="WPM5" s="94"/>
      <c r="WPN5" s="94"/>
      <c r="WPO5" s="94"/>
      <c r="WPP5" s="94"/>
      <c r="WPQ5" s="94"/>
      <c r="WPR5" s="94"/>
      <c r="WPS5" s="94"/>
      <c r="WPT5" s="94"/>
      <c r="WPU5" s="94"/>
      <c r="WPV5" s="94"/>
      <c r="WPW5" s="94"/>
      <c r="WPX5" s="94"/>
      <c r="WPY5" s="94"/>
      <c r="WPZ5" s="94"/>
      <c r="WQA5" s="94"/>
      <c r="WQB5" s="94"/>
      <c r="WQC5" s="94"/>
      <c r="WQD5" s="94"/>
      <c r="WQE5" s="94"/>
      <c r="WQF5" s="94"/>
      <c r="WQG5" s="94"/>
      <c r="WQH5" s="94"/>
      <c r="WQI5" s="94"/>
      <c r="WQJ5" s="94"/>
      <c r="WQK5" s="94"/>
      <c r="WQL5" s="94"/>
      <c r="WQM5" s="94"/>
      <c r="WQN5" s="94"/>
      <c r="WQO5" s="94"/>
      <c r="WQP5" s="94"/>
      <c r="WQQ5" s="94"/>
      <c r="WQR5" s="94"/>
      <c r="WQS5" s="94"/>
      <c r="WQT5" s="94"/>
      <c r="WQU5" s="94"/>
      <c r="WQV5" s="94"/>
      <c r="WQW5" s="94"/>
      <c r="WQX5" s="94"/>
      <c r="WQY5" s="94"/>
      <c r="WQZ5" s="94"/>
      <c r="WRA5" s="94"/>
      <c r="WRB5" s="94"/>
      <c r="WRC5" s="94"/>
      <c r="WRD5" s="94"/>
      <c r="WRE5" s="94"/>
      <c r="WRF5" s="94"/>
      <c r="WRG5" s="94"/>
      <c r="WRH5" s="94"/>
      <c r="WRI5" s="94"/>
      <c r="WRJ5" s="94"/>
      <c r="WRK5" s="94"/>
      <c r="WRL5" s="94"/>
      <c r="WRM5" s="94"/>
      <c r="WRN5" s="94"/>
      <c r="WRO5" s="94"/>
      <c r="WRP5" s="94"/>
      <c r="WRQ5" s="94"/>
      <c r="WRR5" s="94"/>
      <c r="WRS5" s="94"/>
      <c r="WRT5" s="94"/>
      <c r="WRU5" s="94"/>
      <c r="WRV5" s="94"/>
      <c r="WRW5" s="94"/>
      <c r="WRX5" s="94"/>
      <c r="WRY5" s="94"/>
      <c r="WRZ5" s="94"/>
      <c r="WSA5" s="94"/>
      <c r="WSB5" s="94"/>
      <c r="WSC5" s="94"/>
      <c r="WSD5" s="94"/>
      <c r="WSE5" s="94"/>
      <c r="WSF5" s="94"/>
      <c r="WSG5" s="94"/>
      <c r="WSH5" s="94"/>
      <c r="WSI5" s="94"/>
      <c r="WSJ5" s="94"/>
      <c r="WSK5" s="94"/>
      <c r="WSL5" s="94"/>
      <c r="WSM5" s="94"/>
      <c r="WSN5" s="94"/>
      <c r="WSO5" s="94"/>
      <c r="WSP5" s="94"/>
      <c r="WSQ5" s="94"/>
      <c r="WSR5" s="94"/>
      <c r="WSS5" s="94"/>
      <c r="WST5" s="94"/>
      <c r="WSU5" s="94"/>
      <c r="WSV5" s="94"/>
      <c r="WSW5" s="94"/>
      <c r="WSX5" s="94"/>
      <c r="WSY5" s="94"/>
      <c r="WSZ5" s="94"/>
      <c r="WTA5" s="94"/>
      <c r="WTB5" s="94"/>
      <c r="WTC5" s="94"/>
      <c r="WTD5" s="94"/>
      <c r="WTE5" s="94"/>
      <c r="WTF5" s="94"/>
      <c r="WTG5" s="94"/>
      <c r="WTH5" s="94"/>
      <c r="WTI5" s="94"/>
      <c r="WTJ5" s="94"/>
      <c r="WTK5" s="94"/>
      <c r="WTL5" s="94"/>
      <c r="WTM5" s="94"/>
      <c r="WTN5" s="94"/>
      <c r="WTO5" s="94"/>
      <c r="WTP5" s="94"/>
      <c r="WTQ5" s="94"/>
      <c r="WTR5" s="94"/>
      <c r="WTS5" s="94"/>
      <c r="WTT5" s="94"/>
      <c r="WTU5" s="94"/>
      <c r="WTV5" s="94"/>
      <c r="WTW5" s="94"/>
      <c r="WTX5" s="94"/>
      <c r="WTY5" s="94"/>
      <c r="WTZ5" s="94"/>
      <c r="WUA5" s="94"/>
      <c r="WUB5" s="94"/>
      <c r="WUC5" s="94"/>
      <c r="WUD5" s="94"/>
      <c r="WUE5" s="94"/>
      <c r="WUF5" s="94"/>
      <c r="WUG5" s="94"/>
      <c r="WUH5" s="94"/>
      <c r="WUI5" s="94"/>
      <c r="WUJ5" s="94"/>
      <c r="WUK5" s="94"/>
      <c r="WUL5" s="94"/>
      <c r="WUM5" s="94"/>
      <c r="WUN5" s="94"/>
      <c r="WUO5" s="94"/>
      <c r="WUP5" s="94"/>
      <c r="WUQ5" s="94"/>
      <c r="WUR5" s="94"/>
      <c r="WUS5" s="94"/>
      <c r="WUT5" s="94"/>
      <c r="WUU5" s="94"/>
      <c r="WUV5" s="94"/>
      <c r="WUW5" s="94"/>
      <c r="WUX5" s="94"/>
      <c r="WUY5" s="94"/>
      <c r="WUZ5" s="94"/>
      <c r="WVA5" s="94"/>
      <c r="WVB5" s="94"/>
      <c r="WVC5" s="94"/>
      <c r="WVD5" s="94"/>
      <c r="WVE5" s="94"/>
      <c r="WVF5" s="94"/>
      <c r="WVG5" s="94"/>
      <c r="WVH5" s="94"/>
      <c r="WVI5" s="94"/>
      <c r="WVJ5" s="94"/>
      <c r="WVK5" s="94"/>
      <c r="WVL5" s="94"/>
      <c r="WVM5" s="94"/>
      <c r="WVN5" s="94"/>
      <c r="WVO5" s="94"/>
      <c r="WVP5" s="94"/>
      <c r="WVQ5" s="94"/>
      <c r="WVR5" s="94"/>
      <c r="WVS5" s="94"/>
      <c r="WVT5" s="94"/>
      <c r="WVU5" s="94"/>
      <c r="WVV5" s="94"/>
      <c r="WVW5" s="94"/>
      <c r="WVX5" s="94"/>
      <c r="WVY5" s="94"/>
      <c r="WVZ5" s="94"/>
      <c r="WWA5" s="94"/>
      <c r="WWB5" s="94"/>
      <c r="WWC5" s="94"/>
      <c r="WWD5" s="94"/>
      <c r="WWE5" s="94"/>
      <c r="WWF5" s="94"/>
      <c r="WWG5" s="94"/>
      <c r="WWH5" s="94"/>
      <c r="WWI5" s="94"/>
      <c r="WWJ5" s="94"/>
      <c r="WWK5" s="94"/>
      <c r="WWL5" s="94"/>
      <c r="WWM5" s="94"/>
      <c r="WWN5" s="94"/>
      <c r="WWO5" s="94"/>
      <c r="WWP5" s="94"/>
      <c r="WWQ5" s="94"/>
      <c r="WWR5" s="94"/>
      <c r="WWS5" s="94"/>
      <c r="WWT5" s="94"/>
      <c r="WWU5" s="94"/>
      <c r="WWV5" s="94"/>
      <c r="WWW5" s="94"/>
      <c r="WWX5" s="94"/>
      <c r="WWY5" s="94"/>
      <c r="WWZ5" s="94"/>
      <c r="WXA5" s="94"/>
      <c r="WXB5" s="94"/>
      <c r="WXC5" s="94"/>
      <c r="WXD5" s="94"/>
      <c r="WXE5" s="94"/>
      <c r="WXF5" s="94"/>
      <c r="WXG5" s="94"/>
      <c r="WXH5" s="94"/>
      <c r="WXI5" s="94"/>
      <c r="WXJ5" s="94"/>
      <c r="WXK5" s="94"/>
      <c r="WXL5" s="94"/>
      <c r="WXM5" s="94"/>
      <c r="WXN5" s="94"/>
      <c r="WXO5" s="94"/>
      <c r="WXP5" s="94"/>
      <c r="WXQ5" s="94"/>
      <c r="WXR5" s="94"/>
      <c r="WXS5" s="94"/>
      <c r="WXT5" s="94"/>
      <c r="WXU5" s="94"/>
      <c r="WXV5" s="94"/>
      <c r="WXW5" s="94"/>
      <c r="WXX5" s="94"/>
      <c r="WXY5" s="94"/>
      <c r="WXZ5" s="94"/>
      <c r="WYA5" s="94"/>
      <c r="WYB5" s="94"/>
      <c r="WYC5" s="94"/>
      <c r="WYD5" s="94"/>
      <c r="WYE5" s="94"/>
      <c r="WYF5" s="94"/>
      <c r="WYG5" s="94"/>
      <c r="WYH5" s="94"/>
      <c r="WYI5" s="94"/>
      <c r="WYJ5" s="94"/>
      <c r="WYK5" s="94"/>
      <c r="WYL5" s="94"/>
      <c r="WYM5" s="94"/>
      <c r="WYN5" s="94"/>
      <c r="WYO5" s="94"/>
      <c r="WYP5" s="94"/>
      <c r="WYQ5" s="94"/>
      <c r="WYR5" s="94"/>
      <c r="WYS5" s="94"/>
      <c r="WYT5" s="94"/>
      <c r="WYU5" s="94"/>
      <c r="WYV5" s="94"/>
      <c r="WYW5" s="94"/>
      <c r="WYX5" s="94"/>
      <c r="WYY5" s="94"/>
      <c r="WYZ5" s="94"/>
      <c r="WZA5" s="94"/>
      <c r="WZB5" s="94"/>
      <c r="WZC5" s="94"/>
      <c r="WZD5" s="94"/>
      <c r="WZE5" s="94"/>
      <c r="WZF5" s="94"/>
      <c r="WZG5" s="94"/>
      <c r="WZH5" s="94"/>
      <c r="WZI5" s="94"/>
      <c r="WZJ5" s="94"/>
      <c r="WZK5" s="94"/>
      <c r="WZL5" s="94"/>
      <c r="WZM5" s="94"/>
      <c r="WZN5" s="94"/>
      <c r="WZO5" s="94"/>
      <c r="WZP5" s="94"/>
      <c r="WZQ5" s="94"/>
      <c r="WZR5" s="94"/>
      <c r="WZS5" s="94"/>
      <c r="WZT5" s="94"/>
      <c r="WZU5" s="94"/>
      <c r="WZV5" s="94"/>
      <c r="WZW5" s="94"/>
      <c r="WZX5" s="94"/>
      <c r="WZY5" s="94"/>
      <c r="WZZ5" s="94"/>
      <c r="XAA5" s="94"/>
      <c r="XAB5" s="94"/>
      <c r="XAC5" s="94"/>
      <c r="XAD5" s="94"/>
      <c r="XAE5" s="94"/>
      <c r="XAF5" s="94"/>
      <c r="XAG5" s="94"/>
      <c r="XAH5" s="94"/>
      <c r="XAI5" s="94"/>
      <c r="XAJ5" s="94"/>
      <c r="XAK5" s="94"/>
      <c r="XAL5" s="94"/>
      <c r="XAM5" s="94"/>
      <c r="XAN5" s="94"/>
      <c r="XAO5" s="94"/>
      <c r="XAP5" s="94"/>
      <c r="XAQ5" s="94"/>
      <c r="XAR5" s="94"/>
      <c r="XAS5" s="94"/>
      <c r="XAT5" s="94"/>
      <c r="XAU5" s="94"/>
      <c r="XAV5" s="94"/>
      <c r="XAW5" s="94"/>
      <c r="XAX5" s="94"/>
      <c r="XAY5" s="94"/>
      <c r="XAZ5" s="94"/>
      <c r="XBA5" s="94"/>
      <c r="XBB5" s="94"/>
      <c r="XBC5" s="94"/>
      <c r="XBD5" s="94"/>
      <c r="XBE5" s="94"/>
      <c r="XBF5" s="94"/>
      <c r="XBG5" s="94"/>
      <c r="XBH5" s="94"/>
      <c r="XBI5" s="94"/>
      <c r="XBJ5" s="94"/>
      <c r="XBK5" s="94"/>
      <c r="XBL5" s="94"/>
      <c r="XBM5" s="94"/>
      <c r="XBN5" s="94"/>
      <c r="XBO5" s="94"/>
      <c r="XBP5" s="94"/>
      <c r="XBQ5" s="94"/>
      <c r="XBR5" s="94"/>
      <c r="XBS5" s="94"/>
      <c r="XBT5" s="94"/>
      <c r="XBU5" s="94"/>
      <c r="XBV5" s="94"/>
      <c r="XBW5" s="94"/>
      <c r="XBX5" s="94"/>
      <c r="XBY5" s="94"/>
      <c r="XBZ5" s="94"/>
      <c r="XCA5" s="94"/>
      <c r="XCB5" s="94"/>
      <c r="XCC5" s="94"/>
      <c r="XCD5" s="94"/>
      <c r="XCE5" s="94"/>
      <c r="XCF5" s="94"/>
      <c r="XCG5" s="94"/>
      <c r="XCH5" s="94"/>
      <c r="XCI5" s="94"/>
      <c r="XCJ5" s="94"/>
      <c r="XCK5" s="94"/>
      <c r="XCL5" s="94"/>
      <c r="XCM5" s="94"/>
      <c r="XCN5" s="94"/>
      <c r="XCO5" s="94"/>
      <c r="XCP5" s="94"/>
      <c r="XCQ5" s="94"/>
      <c r="XCR5" s="94"/>
      <c r="XCS5" s="94"/>
      <c r="XCT5" s="94"/>
      <c r="XCU5" s="94"/>
      <c r="XCV5" s="94"/>
      <c r="XCW5" s="94"/>
      <c r="XCX5" s="94"/>
      <c r="XCY5" s="94"/>
      <c r="XCZ5" s="94"/>
      <c r="XDA5" s="94"/>
      <c r="XDB5" s="94"/>
      <c r="XDC5" s="94"/>
      <c r="XDD5" s="94"/>
      <c r="XDE5" s="94"/>
      <c r="XDF5" s="94"/>
      <c r="XDG5" s="94"/>
      <c r="XDH5" s="94"/>
      <c r="XDI5" s="94"/>
      <c r="XDJ5" s="94"/>
      <c r="XDK5" s="94"/>
      <c r="XDL5" s="94"/>
      <c r="XDM5" s="94"/>
      <c r="XDN5" s="94"/>
      <c r="XDO5" s="94"/>
      <c r="XDP5" s="94"/>
      <c r="XDQ5" s="94"/>
      <c r="XDR5" s="94"/>
      <c r="XDS5" s="94"/>
      <c r="XDT5" s="94"/>
      <c r="XDU5" s="94"/>
      <c r="XDV5" s="94"/>
      <c r="XDW5" s="94"/>
      <c r="XDX5" s="94"/>
      <c r="XDY5" s="94"/>
      <c r="XDZ5" s="94"/>
      <c r="XEA5" s="94"/>
      <c r="XEB5" s="94"/>
      <c r="XEC5" s="94"/>
      <c r="XED5" s="94"/>
      <c r="XEE5" s="94"/>
      <c r="XEF5" s="94"/>
      <c r="XEG5" s="94"/>
      <c r="XEH5" s="94"/>
      <c r="XEI5" s="94"/>
      <c r="XEJ5" s="94"/>
      <c r="XEK5" s="94"/>
      <c r="XEL5" s="94"/>
      <c r="XEM5" s="94"/>
      <c r="XEN5" s="94"/>
      <c r="XEO5" s="94"/>
      <c r="XEP5" s="94"/>
      <c r="XEQ5" s="94"/>
      <c r="XER5" s="94"/>
      <c r="XES5" s="94"/>
      <c r="XET5" s="94"/>
      <c r="XEU5" s="94"/>
      <c r="XEV5" s="94"/>
      <c r="XEW5" s="94"/>
      <c r="XEX5" s="94"/>
      <c r="XEY5" s="94"/>
      <c r="XEZ5" s="94"/>
    </row>
    <row r="6" spans="1:16380" s="93" customFormat="1" ht="16">
      <c r="B6" s="214"/>
      <c r="C6" s="214"/>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row>
    <row r="7" spans="1:16380" s="96" customFormat="1" ht="16">
      <c r="B7" s="88" t="s">
        <v>230</v>
      </c>
      <c r="C7" s="88"/>
      <c r="D7" s="95"/>
      <c r="E7" s="95"/>
      <c r="F7" s="95"/>
      <c r="G7" s="95"/>
      <c r="H7" s="95"/>
      <c r="I7" s="95"/>
      <c r="J7" s="95"/>
      <c r="K7" s="95"/>
      <c r="L7" s="95"/>
      <c r="M7" s="95"/>
      <c r="N7" s="95"/>
      <c r="O7" s="95"/>
      <c r="P7" s="95"/>
      <c r="Q7" s="95"/>
      <c r="R7" s="95"/>
      <c r="S7" s="91"/>
      <c r="T7" s="1082" t="s">
        <v>390</v>
      </c>
      <c r="U7" s="1082"/>
      <c r="V7" s="1082"/>
      <c r="W7" s="1082"/>
      <c r="X7" s="1082"/>
      <c r="Y7" s="1083" t="s">
        <v>391</v>
      </c>
      <c r="Z7" s="1083"/>
      <c r="AA7" s="1083"/>
      <c r="AB7" s="1083"/>
      <c r="AC7" s="1083"/>
      <c r="AD7" s="95"/>
      <c r="AE7" s="95"/>
      <c r="AF7" s="95"/>
      <c r="AG7" s="95"/>
      <c r="AH7" s="95"/>
      <c r="AI7" s="95"/>
      <c r="AJ7" s="95"/>
      <c r="AK7" s="95"/>
      <c r="AL7" s="95"/>
      <c r="AM7" s="95"/>
    </row>
    <row r="8" spans="1:16380">
      <c r="B8" s="200"/>
      <c r="C8" s="200"/>
      <c r="D8" s="98"/>
      <c r="E8" s="98"/>
      <c r="T8" s="540" t="str">
        <f>IF(T9&lt;='RFPR cover'!$C$9,"Actuals","Forecast")</f>
        <v>Actuals</v>
      </c>
      <c r="U8" s="540" t="str">
        <f>IF(U9&lt;='RFPR cover'!$C$9,"Actuals","Forecast")</f>
        <v>Forecast</v>
      </c>
      <c r="V8" s="540" t="str">
        <f>IF(V9&lt;='RFPR cover'!$C$9,"Actuals","Forecast")</f>
        <v>Forecast</v>
      </c>
      <c r="W8" s="540" t="str">
        <f>IF(W9&lt;='RFPR cover'!$C$9,"Actuals","Forecast")</f>
        <v>Forecast</v>
      </c>
      <c r="X8" s="540" t="str">
        <f>IF(X9&lt;='RFPR cover'!$C$9,"Actuals","Forecast")</f>
        <v>Forecast</v>
      </c>
      <c r="Y8" s="540" t="str">
        <f>IF(Y9&lt;='RFPR cover'!$C$9,"Actuals","Forecast")</f>
        <v>Forecast</v>
      </c>
      <c r="Z8" s="540" t="str">
        <f>IF(Z9&lt;='RFPR cover'!$C$9,"Actuals","Forecast")</f>
        <v>Forecast</v>
      </c>
      <c r="AA8" s="540" t="str">
        <f>IF(AA9&lt;='RFPR cover'!$C$9,"Actuals","Forecast")</f>
        <v>Forecast</v>
      </c>
      <c r="AB8" s="540" t="str">
        <f>IF(AB9&lt;='RFPR cover'!$C$9,"Actuals","Forecast")</f>
        <v>Forecast</v>
      </c>
      <c r="AC8" s="540" t="str">
        <f>IF(AC9&lt;='RFPR cover'!$C$9,"Actuals","Forecast")</f>
        <v>Forecast</v>
      </c>
    </row>
    <row r="9" spans="1:16380">
      <c r="D9" s="98"/>
      <c r="E9" s="98"/>
      <c r="S9" s="172" t="s">
        <v>392</v>
      </c>
      <c r="T9" s="401">
        <f>'RFPR cover'!$C$6</f>
        <v>2022</v>
      </c>
      <c r="U9" s="401">
        <f>T9+1</f>
        <v>2023</v>
      </c>
      <c r="V9" s="401">
        <f t="shared" ref="V9:AC9" si="0">U9+1</f>
        <v>2024</v>
      </c>
      <c r="W9" s="401">
        <f t="shared" si="0"/>
        <v>2025</v>
      </c>
      <c r="X9" s="401">
        <f t="shared" si="0"/>
        <v>2026</v>
      </c>
      <c r="Y9" s="401">
        <f t="shared" si="0"/>
        <v>2027</v>
      </c>
      <c r="Z9" s="401">
        <f t="shared" si="0"/>
        <v>2028</v>
      </c>
      <c r="AA9" s="401">
        <f t="shared" si="0"/>
        <v>2029</v>
      </c>
      <c r="AB9" s="401">
        <f t="shared" si="0"/>
        <v>2030</v>
      </c>
      <c r="AC9" s="401">
        <f t="shared" si="0"/>
        <v>2031</v>
      </c>
    </row>
    <row r="10" spans="1:16380">
      <c r="AB10" s="179"/>
    </row>
    <row r="11" spans="1:16380">
      <c r="B11" s="201" t="s">
        <v>643</v>
      </c>
      <c r="C11" s="201"/>
      <c r="D11" s="98" t="s">
        <v>644</v>
      </c>
      <c r="E11" s="98"/>
      <c r="T11" s="114"/>
      <c r="U11" s="114"/>
      <c r="V11" s="114"/>
      <c r="W11" s="114"/>
      <c r="X11" s="114"/>
      <c r="Y11" s="114"/>
      <c r="Z11" s="114"/>
      <c r="AA11" s="114"/>
      <c r="AB11" s="213"/>
      <c r="AC11" s="114"/>
    </row>
    <row r="12" spans="1:16380" outlineLevel="1">
      <c r="F12" s="105"/>
      <c r="G12" s="105"/>
      <c r="H12" s="105"/>
      <c r="I12" s="105"/>
      <c r="T12" s="536" t="s">
        <v>398</v>
      </c>
      <c r="U12" s="536" t="s">
        <v>398</v>
      </c>
      <c r="V12" s="536" t="s">
        <v>398</v>
      </c>
      <c r="W12" s="536" t="s">
        <v>398</v>
      </c>
      <c r="X12" s="536" t="s">
        <v>398</v>
      </c>
      <c r="Y12" s="536" t="s">
        <v>398</v>
      </c>
      <c r="Z12" s="536" t="s">
        <v>398</v>
      </c>
      <c r="AA12" s="536" t="s">
        <v>398</v>
      </c>
      <c r="AB12" s="536" t="s">
        <v>398</v>
      </c>
      <c r="AC12" s="536" t="s">
        <v>398</v>
      </c>
    </row>
    <row r="13" spans="1:16380" outlineLevel="1">
      <c r="F13" s="99" t="s">
        <v>645</v>
      </c>
      <c r="T13" s="779">
        <v>0</v>
      </c>
      <c r="U13" s="779">
        <v>0</v>
      </c>
      <c r="V13" s="779">
        <v>0</v>
      </c>
      <c r="W13" s="779">
        <v>0</v>
      </c>
      <c r="X13" s="779">
        <v>0</v>
      </c>
      <c r="Y13" s="779">
        <v>0</v>
      </c>
      <c r="Z13" s="779">
        <v>0</v>
      </c>
      <c r="AA13" s="779">
        <v>0</v>
      </c>
      <c r="AB13" s="779">
        <v>0</v>
      </c>
      <c r="AC13" s="779">
        <v>0</v>
      </c>
    </row>
    <row r="14" spans="1:16380" outlineLevel="1">
      <c r="F14" s="99" t="s">
        <v>646</v>
      </c>
      <c r="T14" s="779">
        <v>0</v>
      </c>
      <c r="U14" s="779">
        <v>0</v>
      </c>
      <c r="V14" s="779">
        <v>0</v>
      </c>
      <c r="W14" s="779">
        <v>0</v>
      </c>
      <c r="X14" s="779">
        <v>0</v>
      </c>
      <c r="Y14" s="779">
        <v>0</v>
      </c>
      <c r="Z14" s="779">
        <v>0</v>
      </c>
      <c r="AA14" s="779">
        <v>0</v>
      </c>
      <c r="AB14" s="779">
        <v>0</v>
      </c>
      <c r="AC14" s="779">
        <v>0</v>
      </c>
    </row>
    <row r="15" spans="1:16380" outlineLevel="1">
      <c r="F15" s="99" t="s">
        <v>647</v>
      </c>
      <c r="T15" s="779">
        <v>0</v>
      </c>
      <c r="U15" s="779">
        <v>0</v>
      </c>
      <c r="V15" s="779">
        <v>0</v>
      </c>
      <c r="W15" s="779">
        <v>0</v>
      </c>
      <c r="X15" s="779">
        <v>0</v>
      </c>
      <c r="Y15" s="779">
        <v>0</v>
      </c>
      <c r="Z15" s="779">
        <v>0</v>
      </c>
      <c r="AA15" s="779">
        <v>0</v>
      </c>
      <c r="AB15" s="779">
        <v>0</v>
      </c>
      <c r="AC15" s="779">
        <v>0</v>
      </c>
    </row>
    <row r="16" spans="1:16380" outlineLevel="1">
      <c r="F16" s="99" t="s">
        <v>648</v>
      </c>
      <c r="T16" s="779">
        <v>0</v>
      </c>
      <c r="U16" s="779">
        <v>0</v>
      </c>
      <c r="V16" s="779">
        <v>0</v>
      </c>
      <c r="W16" s="779">
        <v>0</v>
      </c>
      <c r="X16" s="779">
        <v>0</v>
      </c>
      <c r="Y16" s="779">
        <v>0</v>
      </c>
      <c r="Z16" s="779">
        <v>0</v>
      </c>
      <c r="AA16" s="779">
        <v>0</v>
      </c>
      <c r="AB16" s="779">
        <v>0</v>
      </c>
      <c r="AC16" s="779">
        <v>0</v>
      </c>
    </row>
    <row r="17" spans="2:29" outlineLevel="1">
      <c r="F17" s="99" t="s">
        <v>649</v>
      </c>
      <c r="T17" s="779">
        <v>0</v>
      </c>
      <c r="U17" s="779">
        <v>0</v>
      </c>
      <c r="V17" s="779">
        <v>0</v>
      </c>
      <c r="W17" s="779">
        <v>0</v>
      </c>
      <c r="X17" s="779">
        <v>0</v>
      </c>
      <c r="Y17" s="779">
        <v>0</v>
      </c>
      <c r="Z17" s="779">
        <v>0</v>
      </c>
      <c r="AA17" s="779">
        <v>0</v>
      </c>
      <c r="AB17" s="779">
        <v>0</v>
      </c>
      <c r="AC17" s="779">
        <v>0</v>
      </c>
    </row>
    <row r="18" spans="2:29" outlineLevel="1">
      <c r="F18" s="99" t="s">
        <v>650</v>
      </c>
      <c r="T18" s="779">
        <v>-10</v>
      </c>
      <c r="U18" s="779">
        <v>-10</v>
      </c>
      <c r="V18" s="779">
        <v>-10</v>
      </c>
      <c r="W18" s="779">
        <v>-10</v>
      </c>
      <c r="X18" s="779">
        <v>-10</v>
      </c>
      <c r="Y18" s="779">
        <v>-10</v>
      </c>
      <c r="Z18" s="779">
        <v>-10</v>
      </c>
      <c r="AA18" s="779">
        <v>-10</v>
      </c>
      <c r="AB18" s="779">
        <v>-10</v>
      </c>
      <c r="AC18" s="779">
        <v>-10</v>
      </c>
    </row>
    <row r="19" spans="2:29" outlineLevel="1">
      <c r="F19" s="121" t="s">
        <v>1141</v>
      </c>
      <c r="T19" s="779">
        <v>0</v>
      </c>
      <c r="U19" s="779">
        <v>0</v>
      </c>
      <c r="V19" s="779">
        <v>0</v>
      </c>
      <c r="W19" s="779">
        <v>0</v>
      </c>
      <c r="X19" s="779">
        <v>0</v>
      </c>
      <c r="Y19" s="779">
        <v>0</v>
      </c>
      <c r="Z19" s="779">
        <v>0</v>
      </c>
      <c r="AA19" s="779">
        <v>0</v>
      </c>
      <c r="AB19" s="779">
        <v>0</v>
      </c>
      <c r="AC19" s="779">
        <v>0</v>
      </c>
    </row>
    <row r="20" spans="2:29" outlineLevel="1">
      <c r="F20" s="121" t="s">
        <v>1142</v>
      </c>
      <c r="T20" s="779">
        <v>0</v>
      </c>
      <c r="U20" s="779">
        <v>0</v>
      </c>
      <c r="V20" s="779">
        <v>0</v>
      </c>
      <c r="W20" s="779">
        <v>0</v>
      </c>
      <c r="X20" s="779">
        <v>0</v>
      </c>
      <c r="Y20" s="779">
        <v>0</v>
      </c>
      <c r="Z20" s="779">
        <v>0</v>
      </c>
      <c r="AA20" s="779">
        <v>0</v>
      </c>
      <c r="AB20" s="779">
        <v>0</v>
      </c>
      <c r="AC20" s="779">
        <v>0</v>
      </c>
    </row>
    <row r="21" spans="2:29" ht="12.75" customHeight="1" outlineLevel="1">
      <c r="F21" s="23" t="s">
        <v>479</v>
      </c>
      <c r="G21" s="115"/>
      <c r="H21" s="116"/>
      <c r="I21" s="116"/>
      <c r="J21" s="116"/>
      <c r="K21" s="116"/>
      <c r="L21" s="116"/>
      <c r="M21" s="116"/>
      <c r="N21" s="116"/>
      <c r="O21" s="116"/>
      <c r="Q21" s="116"/>
      <c r="R21" s="116"/>
      <c r="S21" s="116"/>
      <c r="T21" s="779">
        <v>0</v>
      </c>
      <c r="U21" s="779">
        <v>0</v>
      </c>
      <c r="V21" s="779">
        <v>0</v>
      </c>
      <c r="W21" s="779">
        <v>0</v>
      </c>
      <c r="X21" s="779">
        <v>0</v>
      </c>
      <c r="Y21" s="779">
        <v>0</v>
      </c>
      <c r="Z21" s="779">
        <v>0</v>
      </c>
      <c r="AA21" s="779">
        <v>0</v>
      </c>
      <c r="AB21" s="779">
        <v>0</v>
      </c>
      <c r="AC21" s="779">
        <v>0</v>
      </c>
    </row>
    <row r="22" spans="2:29">
      <c r="S22" s="537" t="s">
        <v>651</v>
      </c>
      <c r="T22" s="780">
        <f>SUM(T13:T21)</f>
        <v>-10</v>
      </c>
      <c r="U22" s="780">
        <f t="shared" ref="U22:AC22" si="1">SUM(U13:U21)</f>
        <v>-10</v>
      </c>
      <c r="V22" s="780">
        <f t="shared" si="1"/>
        <v>-10</v>
      </c>
      <c r="W22" s="780">
        <f t="shared" si="1"/>
        <v>-10</v>
      </c>
      <c r="X22" s="780">
        <f t="shared" si="1"/>
        <v>-10</v>
      </c>
      <c r="Y22" s="780">
        <f t="shared" si="1"/>
        <v>-10</v>
      </c>
      <c r="Z22" s="780">
        <f t="shared" si="1"/>
        <v>-10</v>
      </c>
      <c r="AA22" s="780">
        <f t="shared" si="1"/>
        <v>-10</v>
      </c>
      <c r="AB22" s="780">
        <f t="shared" si="1"/>
        <v>-10</v>
      </c>
      <c r="AC22" s="780">
        <f t="shared" si="1"/>
        <v>-10</v>
      </c>
    </row>
    <row r="23" spans="2:29">
      <c r="B23" s="201" t="s">
        <v>393</v>
      </c>
      <c r="C23" s="201"/>
      <c r="D23" s="98" t="s">
        <v>652</v>
      </c>
      <c r="E23" s="98"/>
      <c r="F23" s="98"/>
      <c r="G23" s="98"/>
      <c r="H23" s="98"/>
      <c r="I23" s="98"/>
      <c r="T23" s="781"/>
      <c r="U23" s="781"/>
      <c r="V23" s="781"/>
      <c r="W23" s="781"/>
      <c r="X23" s="781"/>
      <c r="Y23" s="781"/>
      <c r="Z23" s="781"/>
      <c r="AA23" s="781"/>
      <c r="AB23" s="782"/>
      <c r="AC23" s="781"/>
    </row>
    <row r="24" spans="2:29" outlineLevel="1">
      <c r="B24" s="201"/>
      <c r="C24" s="201"/>
      <c r="F24" s="98" t="s">
        <v>395</v>
      </c>
      <c r="G24" s="98"/>
      <c r="H24" s="98"/>
      <c r="I24" s="98"/>
      <c r="T24" s="781"/>
      <c r="U24" s="781"/>
      <c r="V24" s="781"/>
      <c r="W24" s="781"/>
      <c r="X24" s="781"/>
      <c r="Y24" s="781"/>
      <c r="Z24" s="781"/>
      <c r="AA24" s="781"/>
      <c r="AB24" s="782"/>
      <c r="AC24" s="781"/>
    </row>
    <row r="25" spans="2:29" s="248" customFormat="1" ht="54.75" customHeight="1" outlineLevel="1">
      <c r="B25" s="697"/>
      <c r="C25" s="697" t="s">
        <v>653</v>
      </c>
      <c r="D25" s="536" t="s">
        <v>469</v>
      </c>
      <c r="E25" s="536" t="s">
        <v>470</v>
      </c>
      <c r="F25" s="536" t="s">
        <v>445</v>
      </c>
      <c r="G25" s="536" t="s">
        <v>654</v>
      </c>
      <c r="H25" s="723" t="s">
        <v>655</v>
      </c>
      <c r="I25" s="723" t="s">
        <v>128</v>
      </c>
      <c r="J25" s="723" t="s">
        <v>656</v>
      </c>
      <c r="K25" s="723" t="s">
        <v>657</v>
      </c>
      <c r="L25" s="723" t="s">
        <v>658</v>
      </c>
      <c r="M25" s="723" t="s">
        <v>659</v>
      </c>
      <c r="N25" s="723" t="s">
        <v>660</v>
      </c>
      <c r="O25" s="723" t="s">
        <v>661</v>
      </c>
      <c r="P25" s="723" t="s">
        <v>149</v>
      </c>
      <c r="Q25" s="723" t="s">
        <v>662</v>
      </c>
      <c r="R25" s="723" t="s">
        <v>663</v>
      </c>
      <c r="S25" s="723" t="s">
        <v>664</v>
      </c>
      <c r="T25" s="783"/>
      <c r="U25" s="783"/>
      <c r="V25" s="783"/>
      <c r="W25" s="783"/>
      <c r="X25" s="783"/>
      <c r="Y25" s="783"/>
      <c r="Z25" s="783"/>
      <c r="AA25" s="783"/>
      <c r="AB25" s="784"/>
      <c r="AC25" s="783"/>
    </row>
    <row r="26" spans="2:29" ht="27" outlineLevel="1">
      <c r="B26" s="729" t="s">
        <v>397</v>
      </c>
      <c r="C26" s="729"/>
      <c r="D26" s="728" t="s">
        <v>472</v>
      </c>
      <c r="E26" s="728" t="s">
        <v>472</v>
      </c>
      <c r="F26" s="736"/>
      <c r="G26" s="728"/>
      <c r="H26" s="728"/>
      <c r="I26" s="737"/>
      <c r="J26" s="728" t="s">
        <v>194</v>
      </c>
      <c r="K26" s="738" t="s">
        <v>665</v>
      </c>
      <c r="L26" s="738" t="s">
        <v>398</v>
      </c>
      <c r="M26" s="738" t="s">
        <v>398</v>
      </c>
      <c r="N26" s="738" t="s">
        <v>194</v>
      </c>
      <c r="O26" s="738" t="s">
        <v>666</v>
      </c>
      <c r="P26" s="738"/>
      <c r="Q26" s="738"/>
      <c r="R26" s="738" t="s">
        <v>398</v>
      </c>
      <c r="S26" s="738"/>
      <c r="T26" s="785" t="s">
        <v>398</v>
      </c>
      <c r="U26" s="785" t="s">
        <v>398</v>
      </c>
      <c r="V26" s="785" t="s">
        <v>398</v>
      </c>
      <c r="W26" s="785" t="s">
        <v>398</v>
      </c>
      <c r="X26" s="785" t="s">
        <v>398</v>
      </c>
      <c r="Y26" s="785" t="s">
        <v>398</v>
      </c>
      <c r="Z26" s="785" t="s">
        <v>398</v>
      </c>
      <c r="AA26" s="785" t="s">
        <v>398</v>
      </c>
      <c r="AB26" s="785" t="s">
        <v>398</v>
      </c>
      <c r="AC26" s="785" t="s">
        <v>398</v>
      </c>
    </row>
    <row r="27" spans="2:29" outlineLevel="1">
      <c r="B27" s="773" t="s">
        <v>399</v>
      </c>
      <c r="C27" s="739" t="s">
        <v>1143</v>
      </c>
      <c r="D27" s="739">
        <v>34373</v>
      </c>
      <c r="E27" s="739">
        <v>52635</v>
      </c>
      <c r="F27" s="739" t="s">
        <v>1144</v>
      </c>
      <c r="G27" s="740" t="s">
        <v>125</v>
      </c>
      <c r="H27" s="741" t="s">
        <v>143</v>
      </c>
      <c r="I27" s="740" t="s">
        <v>129</v>
      </c>
      <c r="J27" s="742">
        <v>7.1249999999999994E-2</v>
      </c>
      <c r="K27" s="740" t="s">
        <v>137</v>
      </c>
      <c r="L27" s="743" t="s">
        <v>137</v>
      </c>
      <c r="M27" s="743">
        <v>0</v>
      </c>
      <c r="N27" s="743">
        <v>0</v>
      </c>
      <c r="O27" s="743" t="s">
        <v>1207</v>
      </c>
      <c r="P27" s="740"/>
      <c r="Q27" s="774">
        <v>0</v>
      </c>
      <c r="R27" s="774">
        <v>28.2</v>
      </c>
      <c r="S27" s="774">
        <v>7.08</v>
      </c>
      <c r="T27" s="779">
        <v>10.4</v>
      </c>
      <c r="U27" s="779">
        <v>10.4</v>
      </c>
      <c r="V27" s="779">
        <v>10.4</v>
      </c>
      <c r="W27" s="779">
        <v>10.4</v>
      </c>
      <c r="X27" s="779">
        <v>10.4</v>
      </c>
      <c r="Y27" s="779">
        <v>10.4</v>
      </c>
      <c r="Z27" s="779">
        <v>10.4</v>
      </c>
      <c r="AA27" s="779">
        <v>10.4</v>
      </c>
      <c r="AB27" s="779">
        <v>10.4</v>
      </c>
      <c r="AC27" s="779">
        <v>10.4</v>
      </c>
    </row>
    <row r="28" spans="2:29" outlineLevel="1">
      <c r="B28" s="773" t="s">
        <v>400</v>
      </c>
      <c r="C28" s="739" t="s">
        <v>1145</v>
      </c>
      <c r="D28" s="739">
        <v>34877</v>
      </c>
      <c r="E28" s="739">
        <v>45835</v>
      </c>
      <c r="F28" s="739" t="s">
        <v>1146</v>
      </c>
      <c r="G28" s="740" t="s">
        <v>125</v>
      </c>
      <c r="H28" s="741" t="s">
        <v>143</v>
      </c>
      <c r="I28" s="740" t="s">
        <v>129</v>
      </c>
      <c r="J28" s="742">
        <v>8.7499999999999994E-2</v>
      </c>
      <c r="K28" s="740" t="s">
        <v>137</v>
      </c>
      <c r="L28" s="743" t="s">
        <v>137</v>
      </c>
      <c r="M28" s="743">
        <v>0</v>
      </c>
      <c r="N28" s="743">
        <v>0</v>
      </c>
      <c r="O28" s="743" t="s">
        <v>1207</v>
      </c>
      <c r="P28" s="740"/>
      <c r="Q28" s="774">
        <v>0</v>
      </c>
      <c r="R28" s="774">
        <v>57.936999999999998</v>
      </c>
      <c r="S28" s="774">
        <v>8.64</v>
      </c>
      <c r="T28" s="779">
        <v>16.5</v>
      </c>
      <c r="U28" s="779">
        <v>16.5</v>
      </c>
      <c r="V28" s="779">
        <v>16.5</v>
      </c>
      <c r="W28" s="779">
        <v>16.5</v>
      </c>
      <c r="X28" s="779">
        <v>0</v>
      </c>
      <c r="Y28" s="779">
        <v>0</v>
      </c>
      <c r="Z28" s="779">
        <v>0</v>
      </c>
      <c r="AA28" s="779">
        <v>0</v>
      </c>
      <c r="AB28" s="779">
        <v>0</v>
      </c>
      <c r="AC28" s="779">
        <v>0</v>
      </c>
    </row>
    <row r="29" spans="2:29" outlineLevel="1">
      <c r="B29" s="773" t="s">
        <v>401</v>
      </c>
      <c r="C29" s="739" t="s">
        <v>1147</v>
      </c>
      <c r="D29" s="739">
        <v>36070</v>
      </c>
      <c r="E29" s="739">
        <v>47028</v>
      </c>
      <c r="F29" s="739" t="s">
        <v>1148</v>
      </c>
      <c r="G29" s="740" t="s">
        <v>125</v>
      </c>
      <c r="H29" s="741" t="s">
        <v>143</v>
      </c>
      <c r="I29" s="740" t="s">
        <v>129</v>
      </c>
      <c r="J29" s="742">
        <v>6.2E-2</v>
      </c>
      <c r="K29" s="740" t="s">
        <v>137</v>
      </c>
      <c r="L29" s="743" t="s">
        <v>137</v>
      </c>
      <c r="M29" s="743">
        <v>0</v>
      </c>
      <c r="N29" s="743">
        <v>0</v>
      </c>
      <c r="O29" s="743" t="s">
        <v>1207</v>
      </c>
      <c r="P29" s="740"/>
      <c r="Q29" s="774">
        <v>0</v>
      </c>
      <c r="R29" s="774">
        <v>50</v>
      </c>
      <c r="S29" s="774">
        <v>6.23</v>
      </c>
      <c r="T29" s="779">
        <v>52.4</v>
      </c>
      <c r="U29" s="779">
        <v>52.4</v>
      </c>
      <c r="V29" s="779">
        <v>52.4</v>
      </c>
      <c r="W29" s="779">
        <v>52.4</v>
      </c>
      <c r="X29" s="779">
        <v>52.4</v>
      </c>
      <c r="Y29" s="779">
        <v>52.4</v>
      </c>
      <c r="Z29" s="779">
        <v>52.4</v>
      </c>
      <c r="AA29" s="779">
        <v>0</v>
      </c>
      <c r="AB29" s="779">
        <v>0</v>
      </c>
      <c r="AC29" s="779">
        <v>0</v>
      </c>
    </row>
    <row r="30" spans="2:29" outlineLevel="1">
      <c r="B30" s="773" t="s">
        <v>402</v>
      </c>
      <c r="C30" s="739" t="s">
        <v>1149</v>
      </c>
      <c r="D30" s="739">
        <v>39067</v>
      </c>
      <c r="E30" s="739">
        <v>45642</v>
      </c>
      <c r="F30" s="739" t="s">
        <v>1150</v>
      </c>
      <c r="G30" s="740" t="s">
        <v>125</v>
      </c>
      <c r="H30" s="741" t="s">
        <v>143</v>
      </c>
      <c r="I30" s="740" t="s">
        <v>129</v>
      </c>
      <c r="J30" s="742">
        <v>7.0000000000000007E-2</v>
      </c>
      <c r="K30" s="740" t="s">
        <v>137</v>
      </c>
      <c r="L30" s="743" t="s">
        <v>137</v>
      </c>
      <c r="M30" s="743">
        <v>0</v>
      </c>
      <c r="N30" s="743">
        <v>0</v>
      </c>
      <c r="O30" s="743" t="s">
        <v>1207</v>
      </c>
      <c r="P30" s="740"/>
      <c r="Q30" s="774">
        <v>0</v>
      </c>
      <c r="R30" s="774">
        <v>282.50200000000001</v>
      </c>
      <c r="S30" s="774">
        <v>7</v>
      </c>
      <c r="T30" s="779">
        <v>89.2</v>
      </c>
      <c r="U30" s="779">
        <v>89.2</v>
      </c>
      <c r="V30" s="779">
        <v>89.2</v>
      </c>
      <c r="W30" s="779">
        <v>0</v>
      </c>
      <c r="X30" s="779">
        <v>0</v>
      </c>
      <c r="Y30" s="779">
        <v>0</v>
      </c>
      <c r="Z30" s="779">
        <v>0</v>
      </c>
      <c r="AA30" s="779">
        <v>0</v>
      </c>
      <c r="AB30" s="779">
        <v>0</v>
      </c>
      <c r="AC30" s="779">
        <v>0</v>
      </c>
    </row>
    <row r="31" spans="2:29" outlineLevel="1">
      <c r="B31" s="773" t="s">
        <v>958</v>
      </c>
      <c r="C31" s="739" t="s">
        <v>1151</v>
      </c>
      <c r="D31" s="739">
        <v>39581</v>
      </c>
      <c r="E31" s="739">
        <v>50538</v>
      </c>
      <c r="F31" s="739" t="s">
        <v>1152</v>
      </c>
      <c r="G31" s="740" t="s">
        <v>125</v>
      </c>
      <c r="H31" s="741" t="s">
        <v>143</v>
      </c>
      <c r="I31" s="740" t="s">
        <v>129</v>
      </c>
      <c r="J31" s="742">
        <v>0.06</v>
      </c>
      <c r="K31" s="740" t="s">
        <v>137</v>
      </c>
      <c r="L31" s="743" t="s">
        <v>137</v>
      </c>
      <c r="M31" s="743">
        <v>0</v>
      </c>
      <c r="N31" s="743">
        <v>0</v>
      </c>
      <c r="O31" s="743" t="s">
        <v>1207</v>
      </c>
      <c r="P31" s="740"/>
      <c r="Q31" s="774">
        <v>0</v>
      </c>
      <c r="R31" s="774">
        <v>11</v>
      </c>
      <c r="S31" s="774">
        <v>6.81</v>
      </c>
      <c r="T31" s="779">
        <v>5.0999999999999996</v>
      </c>
      <c r="U31" s="779">
        <v>5.0999999999999996</v>
      </c>
      <c r="V31" s="779">
        <v>5.0999999999999996</v>
      </c>
      <c r="W31" s="779">
        <v>5.0999999999999996</v>
      </c>
      <c r="X31" s="779">
        <v>5.0999999999999996</v>
      </c>
      <c r="Y31" s="779">
        <v>5.0999999999999996</v>
      </c>
      <c r="Z31" s="779">
        <v>5.0999999999999996</v>
      </c>
      <c r="AA31" s="779">
        <v>5.0999999999999996</v>
      </c>
      <c r="AB31" s="779">
        <v>5.0999999999999996</v>
      </c>
      <c r="AC31" s="779">
        <v>5.0999999999999996</v>
      </c>
    </row>
    <row r="32" spans="2:29" outlineLevel="1">
      <c r="B32" s="773" t="s">
        <v>959</v>
      </c>
      <c r="C32" s="739" t="s">
        <v>1151</v>
      </c>
      <c r="D32" s="739">
        <v>39581</v>
      </c>
      <c r="E32" s="739">
        <v>50538</v>
      </c>
      <c r="F32" s="739" t="s">
        <v>1153</v>
      </c>
      <c r="G32" s="740" t="s">
        <v>125</v>
      </c>
      <c r="H32" s="741" t="s">
        <v>143</v>
      </c>
      <c r="I32" s="740" t="s">
        <v>129</v>
      </c>
      <c r="J32" s="742">
        <v>0.06</v>
      </c>
      <c r="K32" s="740" t="s">
        <v>137</v>
      </c>
      <c r="L32" s="743" t="s">
        <v>137</v>
      </c>
      <c r="M32" s="743">
        <v>0</v>
      </c>
      <c r="N32" s="743">
        <v>0</v>
      </c>
      <c r="O32" s="743" t="s">
        <v>1207</v>
      </c>
      <c r="P32" s="740"/>
      <c r="Q32" s="774">
        <v>0</v>
      </c>
      <c r="R32" s="774">
        <v>24</v>
      </c>
      <c r="S32" s="774">
        <v>6.58</v>
      </c>
      <c r="T32" s="779">
        <v>16.7</v>
      </c>
      <c r="U32" s="779">
        <v>16.7</v>
      </c>
      <c r="V32" s="779">
        <v>16.7</v>
      </c>
      <c r="W32" s="779">
        <v>16.7</v>
      </c>
      <c r="X32" s="779">
        <v>16.7</v>
      </c>
      <c r="Y32" s="779">
        <v>16.7</v>
      </c>
      <c r="Z32" s="779">
        <v>16.7</v>
      </c>
      <c r="AA32" s="779">
        <v>16.7</v>
      </c>
      <c r="AB32" s="779">
        <v>16.7</v>
      </c>
      <c r="AC32" s="779">
        <v>16.7</v>
      </c>
    </row>
    <row r="33" spans="2:29" outlineLevel="1">
      <c r="B33" s="773" t="s">
        <v>960</v>
      </c>
      <c r="C33" s="739" t="s">
        <v>1151</v>
      </c>
      <c r="D33" s="739">
        <v>39946</v>
      </c>
      <c r="E33" s="739">
        <v>50538</v>
      </c>
      <c r="F33" s="739" t="s">
        <v>1154</v>
      </c>
      <c r="G33" s="740" t="s">
        <v>125</v>
      </c>
      <c r="H33" s="741" t="s">
        <v>143</v>
      </c>
      <c r="I33" s="740" t="s">
        <v>129</v>
      </c>
      <c r="J33" s="742">
        <v>0.06</v>
      </c>
      <c r="K33" s="740" t="s">
        <v>137</v>
      </c>
      <c r="L33" s="743" t="s">
        <v>137</v>
      </c>
      <c r="M33" s="743">
        <v>0</v>
      </c>
      <c r="N33" s="743">
        <v>0</v>
      </c>
      <c r="O33" s="743" t="s">
        <v>1207</v>
      </c>
      <c r="P33" s="740"/>
      <c r="Q33" s="774">
        <v>0</v>
      </c>
      <c r="R33" s="774">
        <v>5</v>
      </c>
      <c r="S33" s="774">
        <v>6.31</v>
      </c>
      <c r="T33" s="779">
        <v>3.4</v>
      </c>
      <c r="U33" s="779">
        <v>3.4</v>
      </c>
      <c r="V33" s="779">
        <v>3.4</v>
      </c>
      <c r="W33" s="779">
        <v>3.4</v>
      </c>
      <c r="X33" s="779">
        <v>3.4</v>
      </c>
      <c r="Y33" s="779">
        <v>3.4</v>
      </c>
      <c r="Z33" s="779">
        <v>3.4</v>
      </c>
      <c r="AA33" s="779">
        <v>3.4</v>
      </c>
      <c r="AB33" s="779">
        <v>3.4</v>
      </c>
      <c r="AC33" s="779">
        <v>3.4</v>
      </c>
    </row>
    <row r="34" spans="2:29" outlineLevel="1">
      <c r="B34" s="773" t="s">
        <v>961</v>
      </c>
      <c r="C34" s="739" t="s">
        <v>1151</v>
      </c>
      <c r="D34" s="739">
        <v>39946</v>
      </c>
      <c r="E34" s="739">
        <v>50538</v>
      </c>
      <c r="F34" s="739" t="s">
        <v>1155</v>
      </c>
      <c r="G34" s="740" t="s">
        <v>125</v>
      </c>
      <c r="H34" s="741" t="s">
        <v>143</v>
      </c>
      <c r="I34" s="740" t="s">
        <v>129</v>
      </c>
      <c r="J34" s="742">
        <v>0.06</v>
      </c>
      <c r="K34" s="740" t="s">
        <v>137</v>
      </c>
      <c r="L34" s="743" t="s">
        <v>137</v>
      </c>
      <c r="M34" s="743">
        <v>0</v>
      </c>
      <c r="N34" s="743">
        <v>0</v>
      </c>
      <c r="O34" s="743" t="s">
        <v>1207</v>
      </c>
      <c r="P34" s="740"/>
      <c r="Q34" s="774">
        <v>0</v>
      </c>
      <c r="R34" s="774">
        <v>8</v>
      </c>
      <c r="S34" s="774">
        <v>5.87</v>
      </c>
      <c r="T34" s="779">
        <v>5.7</v>
      </c>
      <c r="U34" s="779">
        <v>5.7</v>
      </c>
      <c r="V34" s="779">
        <v>5.7</v>
      </c>
      <c r="W34" s="779">
        <v>5.7</v>
      </c>
      <c r="X34" s="779">
        <v>5.7</v>
      </c>
      <c r="Y34" s="779">
        <v>5.7</v>
      </c>
      <c r="Z34" s="779">
        <v>5.7</v>
      </c>
      <c r="AA34" s="779">
        <v>5.7</v>
      </c>
      <c r="AB34" s="779">
        <v>5.7</v>
      </c>
      <c r="AC34" s="779">
        <v>5.7</v>
      </c>
    </row>
    <row r="35" spans="2:29" outlineLevel="1">
      <c r="B35" s="773" t="s">
        <v>962</v>
      </c>
      <c r="C35" s="739" t="s">
        <v>1156</v>
      </c>
      <c r="D35" s="739">
        <v>41264</v>
      </c>
      <c r="E35" s="739">
        <v>46742</v>
      </c>
      <c r="F35" s="739" t="s">
        <v>1157</v>
      </c>
      <c r="G35" s="740" t="s">
        <v>125</v>
      </c>
      <c r="H35" s="741" t="s">
        <v>143</v>
      </c>
      <c r="I35" s="740" t="s">
        <v>129</v>
      </c>
      <c r="J35" s="742">
        <v>3.0499999999999999E-2</v>
      </c>
      <c r="K35" s="740" t="s">
        <v>140</v>
      </c>
      <c r="L35" s="743" t="s">
        <v>140</v>
      </c>
      <c r="M35" s="743">
        <v>0</v>
      </c>
      <c r="N35" s="743">
        <v>100</v>
      </c>
      <c r="O35" s="743" t="s">
        <v>1208</v>
      </c>
      <c r="P35" s="740"/>
      <c r="Q35" s="774">
        <v>0</v>
      </c>
      <c r="R35" s="774">
        <v>24.005761379999999</v>
      </c>
      <c r="S35" s="774">
        <v>3.05</v>
      </c>
      <c r="T35" s="779">
        <v>30.6</v>
      </c>
      <c r="U35" s="779">
        <v>30.6</v>
      </c>
      <c r="V35" s="779">
        <v>30.6</v>
      </c>
      <c r="W35" s="779">
        <v>30.6</v>
      </c>
      <c r="X35" s="779">
        <v>30.6</v>
      </c>
      <c r="Y35" s="779">
        <v>30.6</v>
      </c>
      <c r="Z35" s="779">
        <v>0</v>
      </c>
      <c r="AA35" s="779">
        <v>0</v>
      </c>
      <c r="AB35" s="779">
        <v>0</v>
      </c>
      <c r="AC35" s="779">
        <v>0</v>
      </c>
    </row>
    <row r="36" spans="2:29" outlineLevel="1">
      <c r="B36" s="773" t="s">
        <v>963</v>
      </c>
      <c r="C36" s="739" t="s">
        <v>1158</v>
      </c>
      <c r="D36" s="739">
        <v>36238</v>
      </c>
      <c r="E36" s="739">
        <v>47200</v>
      </c>
      <c r="F36" s="739" t="s">
        <v>1159</v>
      </c>
      <c r="G36" s="740" t="s">
        <v>125</v>
      </c>
      <c r="H36" s="741" t="s">
        <v>143</v>
      </c>
      <c r="I36" s="740" t="s">
        <v>129</v>
      </c>
      <c r="J36" s="742">
        <v>4.3099999999999999E-2</v>
      </c>
      <c r="K36" s="740" t="s">
        <v>1064</v>
      </c>
      <c r="L36" s="743" t="s">
        <v>1064</v>
      </c>
      <c r="M36" s="743">
        <v>0</v>
      </c>
      <c r="N36" s="743">
        <v>100</v>
      </c>
      <c r="O36" s="743" t="s">
        <v>1209</v>
      </c>
      <c r="P36" s="740"/>
      <c r="Q36" s="774">
        <v>0</v>
      </c>
      <c r="R36" s="774">
        <v>52.207999999999998</v>
      </c>
      <c r="S36" s="774">
        <v>4.3099999999999996</v>
      </c>
      <c r="T36" s="779">
        <v>70.8</v>
      </c>
      <c r="U36" s="779">
        <v>70.8</v>
      </c>
      <c r="V36" s="779">
        <v>70.8</v>
      </c>
      <c r="W36" s="779">
        <v>70.8</v>
      </c>
      <c r="X36" s="779">
        <v>70.8</v>
      </c>
      <c r="Y36" s="779">
        <v>70.8</v>
      </c>
      <c r="Z36" s="779">
        <v>70.8</v>
      </c>
      <c r="AA36" s="779">
        <v>0</v>
      </c>
      <c r="AB36" s="779">
        <v>0</v>
      </c>
      <c r="AC36" s="779">
        <v>0</v>
      </c>
    </row>
    <row r="37" spans="2:29" outlineLevel="1">
      <c r="B37" s="773" t="s">
        <v>964</v>
      </c>
      <c r="C37" s="739" t="s">
        <v>1158</v>
      </c>
      <c r="D37" s="739">
        <v>36475</v>
      </c>
      <c r="E37" s="739">
        <v>47434</v>
      </c>
      <c r="F37" s="739" t="s">
        <v>1160</v>
      </c>
      <c r="G37" s="740" t="s">
        <v>125</v>
      </c>
      <c r="H37" s="741" t="s">
        <v>143</v>
      </c>
      <c r="I37" s="740" t="s">
        <v>129</v>
      </c>
      <c r="J37" s="742">
        <v>4.6300000000000001E-2</v>
      </c>
      <c r="K37" s="740" t="s">
        <v>1064</v>
      </c>
      <c r="L37" s="743" t="s">
        <v>1064</v>
      </c>
      <c r="M37" s="743">
        <v>0</v>
      </c>
      <c r="N37" s="743">
        <v>100</v>
      </c>
      <c r="O37" s="743" t="s">
        <v>1210</v>
      </c>
      <c r="P37" s="740"/>
      <c r="Q37" s="774">
        <v>0</v>
      </c>
      <c r="R37" s="774">
        <v>56.024999999999999</v>
      </c>
      <c r="S37" s="774">
        <v>4.63</v>
      </c>
      <c r="T37" s="779">
        <v>66.8</v>
      </c>
      <c r="U37" s="779">
        <v>66.8</v>
      </c>
      <c r="V37" s="779">
        <v>66.8</v>
      </c>
      <c r="W37" s="779">
        <v>66.8</v>
      </c>
      <c r="X37" s="779">
        <v>66.8</v>
      </c>
      <c r="Y37" s="779">
        <v>66.8</v>
      </c>
      <c r="Z37" s="779">
        <v>66.8</v>
      </c>
      <c r="AA37" s="779">
        <v>66.8</v>
      </c>
      <c r="AB37" s="779">
        <v>0</v>
      </c>
      <c r="AC37" s="779">
        <v>0</v>
      </c>
    </row>
    <row r="38" spans="2:29" outlineLevel="1">
      <c r="B38" s="773" t="s">
        <v>965</v>
      </c>
      <c r="C38" s="739" t="s">
        <v>1161</v>
      </c>
      <c r="D38" s="739">
        <v>39458</v>
      </c>
      <c r="E38" s="739">
        <v>44936</v>
      </c>
      <c r="F38" s="739" t="s">
        <v>1162</v>
      </c>
      <c r="G38" s="740" t="s">
        <v>125</v>
      </c>
      <c r="H38" s="741" t="s">
        <v>143</v>
      </c>
      <c r="I38" s="740" t="s">
        <v>129</v>
      </c>
      <c r="J38" s="742">
        <v>2.5399999999999999E-2</v>
      </c>
      <c r="K38" s="740" t="s">
        <v>1064</v>
      </c>
      <c r="L38" s="743" t="s">
        <v>1064</v>
      </c>
      <c r="M38" s="743">
        <v>0</v>
      </c>
      <c r="N38" s="743">
        <v>100</v>
      </c>
      <c r="O38" s="743" t="s">
        <v>1211</v>
      </c>
      <c r="P38" s="740"/>
      <c r="Q38" s="774">
        <v>0</v>
      </c>
      <c r="R38" s="774">
        <v>13.324450369999999</v>
      </c>
      <c r="S38" s="774">
        <v>2.54</v>
      </c>
      <c r="T38" s="779">
        <v>18.100000000000001</v>
      </c>
      <c r="U38" s="779">
        <v>0</v>
      </c>
      <c r="V38" s="779">
        <v>0</v>
      </c>
      <c r="W38" s="779">
        <v>0</v>
      </c>
      <c r="X38" s="779">
        <v>0</v>
      </c>
      <c r="Y38" s="779">
        <v>0</v>
      </c>
      <c r="Z38" s="779">
        <v>0</v>
      </c>
      <c r="AA38" s="779">
        <v>0</v>
      </c>
      <c r="AB38" s="779">
        <v>0</v>
      </c>
      <c r="AC38" s="779">
        <v>0</v>
      </c>
    </row>
    <row r="39" spans="2:29" outlineLevel="1">
      <c r="B39" s="773" t="s">
        <v>966</v>
      </c>
      <c r="C39" s="739" t="s">
        <v>1163</v>
      </c>
      <c r="D39" s="739">
        <v>42635</v>
      </c>
      <c r="E39" s="739">
        <v>44909</v>
      </c>
      <c r="F39" s="739" t="s">
        <v>1164</v>
      </c>
      <c r="G39" s="740" t="s">
        <v>127</v>
      </c>
      <c r="H39" s="741" t="s">
        <v>143</v>
      </c>
      <c r="I39" s="740" t="s">
        <v>134</v>
      </c>
      <c r="J39" s="742">
        <v>4.1875000000000002E-2</v>
      </c>
      <c r="K39" s="740" t="s">
        <v>137</v>
      </c>
      <c r="L39" s="743" t="s">
        <v>137</v>
      </c>
      <c r="M39" s="743">
        <v>0</v>
      </c>
      <c r="N39" s="743">
        <v>0</v>
      </c>
      <c r="O39" s="743" t="s">
        <v>1207</v>
      </c>
      <c r="P39" s="740"/>
      <c r="Q39" s="774">
        <v>165.2</v>
      </c>
      <c r="R39" s="774">
        <v>416.3</v>
      </c>
      <c r="S39" s="774">
        <v>4.1900000000000004</v>
      </c>
      <c r="T39" s="779">
        <v>502.3</v>
      </c>
      <c r="U39" s="779">
        <v>0</v>
      </c>
      <c r="V39" s="779">
        <v>0</v>
      </c>
      <c r="W39" s="779">
        <v>0</v>
      </c>
      <c r="X39" s="779">
        <v>0</v>
      </c>
      <c r="Y39" s="779">
        <v>0</v>
      </c>
      <c r="Z39" s="779">
        <v>0</v>
      </c>
      <c r="AA39" s="779">
        <v>0</v>
      </c>
      <c r="AB39" s="779">
        <v>0</v>
      </c>
      <c r="AC39" s="779">
        <v>0</v>
      </c>
    </row>
    <row r="40" spans="2:29" outlineLevel="1">
      <c r="B40" s="773" t="s">
        <v>967</v>
      </c>
      <c r="C40" s="739" t="s">
        <v>1165</v>
      </c>
      <c r="D40" s="739">
        <v>38814</v>
      </c>
      <c r="E40" s="739">
        <v>49772</v>
      </c>
      <c r="F40" s="739" t="s">
        <v>1166</v>
      </c>
      <c r="G40" s="740" t="s">
        <v>127</v>
      </c>
      <c r="H40" s="741" t="s">
        <v>143</v>
      </c>
      <c r="I40" s="740" t="s">
        <v>134</v>
      </c>
      <c r="J40" s="742">
        <v>1.6747000000000001E-2</v>
      </c>
      <c r="K40" s="740" t="s">
        <v>137</v>
      </c>
      <c r="L40" s="743" t="s">
        <v>137</v>
      </c>
      <c r="M40" s="743">
        <v>0</v>
      </c>
      <c r="N40" s="743">
        <v>0</v>
      </c>
      <c r="O40" s="743" t="s">
        <v>1207</v>
      </c>
      <c r="P40" s="740"/>
      <c r="Q40" s="774">
        <v>192.6</v>
      </c>
      <c r="R40" s="774">
        <v>100</v>
      </c>
      <c r="S40" s="774">
        <v>1.67</v>
      </c>
      <c r="T40" s="779">
        <v>160.69999999999999</v>
      </c>
      <c r="U40" s="779">
        <v>178.22160278141538</v>
      </c>
      <c r="V40" s="779">
        <v>186.40716137196674</v>
      </c>
      <c r="W40" s="779">
        <v>190.99557164537021</v>
      </c>
      <c r="X40" s="779">
        <v>195.91360425125112</v>
      </c>
      <c r="Y40" s="779">
        <v>201.79101237878865</v>
      </c>
      <c r="Z40" s="779">
        <v>207.84474275015231</v>
      </c>
      <c r="AA40" s="779">
        <v>214.08008503265688</v>
      </c>
      <c r="AB40" s="779">
        <v>220.50248758363659</v>
      </c>
      <c r="AC40" s="779">
        <v>227.1175622111457</v>
      </c>
    </row>
    <row r="41" spans="2:29" outlineLevel="1">
      <c r="B41" s="773" t="s">
        <v>968</v>
      </c>
      <c r="C41" s="739" t="s">
        <v>1167</v>
      </c>
      <c r="D41" s="739">
        <v>38896</v>
      </c>
      <c r="E41" s="739">
        <v>53506</v>
      </c>
      <c r="F41" s="739" t="s">
        <v>1168</v>
      </c>
      <c r="G41" s="740" t="s">
        <v>127</v>
      </c>
      <c r="H41" s="741" t="s">
        <v>143</v>
      </c>
      <c r="I41" s="740" t="s">
        <v>134</v>
      </c>
      <c r="J41" s="742">
        <v>1.7298000000000001E-2</v>
      </c>
      <c r="K41" s="740" t="s">
        <v>137</v>
      </c>
      <c r="L41" s="743" t="s">
        <v>137</v>
      </c>
      <c r="M41" s="743">
        <v>0</v>
      </c>
      <c r="N41" s="743">
        <v>0</v>
      </c>
      <c r="O41" s="743" t="s">
        <v>1207</v>
      </c>
      <c r="P41" s="740"/>
      <c r="Q41" s="774">
        <v>193.3</v>
      </c>
      <c r="R41" s="774">
        <v>115</v>
      </c>
      <c r="S41" s="774">
        <v>1.73</v>
      </c>
      <c r="T41" s="779">
        <v>183.3</v>
      </c>
      <c r="U41" s="779">
        <v>203.28574853661135</v>
      </c>
      <c r="V41" s="779">
        <v>212.62248089285316</v>
      </c>
      <c r="W41" s="779">
        <v>217.85618097446397</v>
      </c>
      <c r="X41" s="779">
        <v>223.46585973400329</v>
      </c>
      <c r="Y41" s="779">
        <v>230.16983552602341</v>
      </c>
      <c r="Z41" s="779">
        <v>237.0749305918041</v>
      </c>
      <c r="AA41" s="779">
        <v>244.18717850955824</v>
      </c>
      <c r="AB41" s="779">
        <v>251.51279386484498</v>
      </c>
      <c r="AC41" s="779">
        <v>259.05817768079032</v>
      </c>
    </row>
    <row r="42" spans="2:29" outlineLevel="1">
      <c r="B42" s="773" t="s">
        <v>969</v>
      </c>
      <c r="C42" s="739" t="s">
        <v>1169</v>
      </c>
      <c r="D42" s="739">
        <v>39007</v>
      </c>
      <c r="E42" s="739">
        <v>49965</v>
      </c>
      <c r="F42" s="739" t="s">
        <v>1170</v>
      </c>
      <c r="G42" s="740" t="s">
        <v>127</v>
      </c>
      <c r="H42" s="741" t="s">
        <v>143</v>
      </c>
      <c r="I42" s="740" t="s">
        <v>134</v>
      </c>
      <c r="J42" s="742">
        <v>1.754E-2</v>
      </c>
      <c r="K42" s="740" t="s">
        <v>137</v>
      </c>
      <c r="L42" s="743" t="s">
        <v>137</v>
      </c>
      <c r="M42" s="743">
        <v>0</v>
      </c>
      <c r="N42" s="743">
        <v>0</v>
      </c>
      <c r="O42" s="743" t="s">
        <v>1207</v>
      </c>
      <c r="P42" s="740"/>
      <c r="Q42" s="774">
        <v>198.86129</v>
      </c>
      <c r="R42" s="774">
        <v>300</v>
      </c>
      <c r="S42" s="774">
        <v>1.75</v>
      </c>
      <c r="T42" s="779">
        <v>483</v>
      </c>
      <c r="U42" s="779">
        <v>535.66293804246197</v>
      </c>
      <c r="V42" s="779">
        <v>560.26545701717441</v>
      </c>
      <c r="W42" s="779">
        <v>574.05638521912761</v>
      </c>
      <c r="X42" s="779">
        <v>588.83802646766821</v>
      </c>
      <c r="Y42" s="779">
        <v>606.50316726169831</v>
      </c>
      <c r="Z42" s="779">
        <v>624.69826227954923</v>
      </c>
      <c r="AA42" s="779">
        <v>643.43921014793568</v>
      </c>
      <c r="AB42" s="779">
        <v>662.74238645237381</v>
      </c>
      <c r="AC42" s="779">
        <v>682.62465804594501</v>
      </c>
    </row>
    <row r="43" spans="2:29" outlineLevel="1">
      <c r="B43" s="773" t="s">
        <v>970</v>
      </c>
      <c r="C43" s="739" t="s">
        <v>1171</v>
      </c>
      <c r="D43" s="739">
        <v>39094</v>
      </c>
      <c r="E43" s="739">
        <v>50052</v>
      </c>
      <c r="F43" s="739" t="s">
        <v>1172</v>
      </c>
      <c r="G43" s="740" t="s">
        <v>127</v>
      </c>
      <c r="H43" s="741" t="s">
        <v>143</v>
      </c>
      <c r="I43" s="740" t="s">
        <v>134</v>
      </c>
      <c r="J43" s="742">
        <v>1.7864000000000001E-2</v>
      </c>
      <c r="K43" s="740" t="s">
        <v>137</v>
      </c>
      <c r="L43" s="743" t="s">
        <v>137</v>
      </c>
      <c r="M43" s="743">
        <v>0</v>
      </c>
      <c r="N43" s="743">
        <v>0</v>
      </c>
      <c r="O43" s="743" t="s">
        <v>1207</v>
      </c>
      <c r="P43" s="740"/>
      <c r="Q43" s="774">
        <v>197.7</v>
      </c>
      <c r="R43" s="774">
        <v>140</v>
      </c>
      <c r="S43" s="774">
        <v>1.79</v>
      </c>
      <c r="T43" s="779">
        <v>218.4</v>
      </c>
      <c r="U43" s="779">
        <v>242.21280676702628</v>
      </c>
      <c r="V43" s="779">
        <v>253.33742404254846</v>
      </c>
      <c r="W43" s="779">
        <v>259.57332201212728</v>
      </c>
      <c r="X43" s="779">
        <v>266.25719457668475</v>
      </c>
      <c r="Y43" s="779">
        <v>274.24491041398528</v>
      </c>
      <c r="Z43" s="779">
        <v>282.47225772640485</v>
      </c>
      <c r="AA43" s="779">
        <v>290.94642545819698</v>
      </c>
      <c r="AB43" s="779">
        <v>299.67481822194293</v>
      </c>
      <c r="AC43" s="779">
        <v>308.66506276860122</v>
      </c>
    </row>
    <row r="44" spans="2:29" outlineLevel="1">
      <c r="B44" s="773" t="s">
        <v>971</v>
      </c>
      <c r="C44" s="739" t="s">
        <v>1173</v>
      </c>
      <c r="D44" s="739">
        <v>39094</v>
      </c>
      <c r="E44" s="739">
        <v>50052</v>
      </c>
      <c r="F44" s="739" t="s">
        <v>1174</v>
      </c>
      <c r="G44" s="740" t="s">
        <v>127</v>
      </c>
      <c r="H44" s="741" t="s">
        <v>143</v>
      </c>
      <c r="I44" s="740" t="s">
        <v>134</v>
      </c>
      <c r="J44" s="742">
        <v>1.7552000000000002E-2</v>
      </c>
      <c r="K44" s="740" t="s">
        <v>137</v>
      </c>
      <c r="L44" s="743" t="s">
        <v>137</v>
      </c>
      <c r="M44" s="743">
        <v>0</v>
      </c>
      <c r="N44" s="743">
        <v>0</v>
      </c>
      <c r="O44" s="743" t="s">
        <v>1207</v>
      </c>
      <c r="P44" s="740"/>
      <c r="Q44" s="774">
        <v>197.7</v>
      </c>
      <c r="R44" s="774">
        <v>50</v>
      </c>
      <c r="S44" s="774">
        <v>1.76</v>
      </c>
      <c r="T44" s="779">
        <v>78</v>
      </c>
      <c r="U44" s="779">
        <v>86.504573845366522</v>
      </c>
      <c r="V44" s="779">
        <v>90.4776514437673</v>
      </c>
      <c r="W44" s="779">
        <v>92.704757861474022</v>
      </c>
      <c r="X44" s="779">
        <v>95.091855205958836</v>
      </c>
      <c r="Y44" s="779">
        <v>97.944610862137608</v>
      </c>
      <c r="Z44" s="779">
        <v>100.88294918800175</v>
      </c>
      <c r="AA44" s="779">
        <v>103.9094376636418</v>
      </c>
      <c r="AB44" s="779">
        <v>107.02672079355105</v>
      </c>
      <c r="AC44" s="779">
        <v>110.23752241735758</v>
      </c>
    </row>
    <row r="45" spans="2:29" outlineLevel="1">
      <c r="B45" s="773" t="s">
        <v>972</v>
      </c>
      <c r="C45" s="739" t="s">
        <v>1175</v>
      </c>
      <c r="D45" s="739">
        <v>39108</v>
      </c>
      <c r="E45" s="739">
        <v>50129</v>
      </c>
      <c r="F45" s="739" t="s">
        <v>1176</v>
      </c>
      <c r="G45" s="740" t="s">
        <v>127</v>
      </c>
      <c r="H45" s="741" t="s">
        <v>143</v>
      </c>
      <c r="I45" s="740" t="s">
        <v>134</v>
      </c>
      <c r="J45" s="742">
        <v>1.7711999999999999E-2</v>
      </c>
      <c r="K45" s="740" t="s">
        <v>137</v>
      </c>
      <c r="L45" s="743" t="s">
        <v>137</v>
      </c>
      <c r="M45" s="743">
        <v>0</v>
      </c>
      <c r="N45" s="743">
        <v>0</v>
      </c>
      <c r="O45" s="743" t="s">
        <v>1207</v>
      </c>
      <c r="P45" s="740"/>
      <c r="Q45" s="774">
        <v>197.7</v>
      </c>
      <c r="R45" s="774">
        <v>25</v>
      </c>
      <c r="S45" s="774">
        <v>1.67</v>
      </c>
      <c r="T45" s="779">
        <v>38.6</v>
      </c>
      <c r="U45" s="779">
        <v>42.808673723476254</v>
      </c>
      <c r="V45" s="779">
        <v>44.774837765761767</v>
      </c>
      <c r="W45" s="779">
        <v>45.876969916062784</v>
      </c>
      <c r="X45" s="779">
        <v>47.058277063461681</v>
      </c>
      <c r="Y45" s="779">
        <v>48.47002537536553</v>
      </c>
      <c r="Z45" s="779">
        <v>49.924126136626498</v>
      </c>
      <c r="AA45" s="779">
        <v>51.421849920725293</v>
      </c>
      <c r="AB45" s="779">
        <v>52.964505418347052</v>
      </c>
      <c r="AC45" s="779">
        <v>54.553440580897465</v>
      </c>
    </row>
    <row r="46" spans="2:29" outlineLevel="1">
      <c r="B46" s="773" t="s">
        <v>973</v>
      </c>
      <c r="C46" s="739" t="s">
        <v>1177</v>
      </c>
      <c r="D46" s="739">
        <v>39112</v>
      </c>
      <c r="E46" s="739">
        <v>50070</v>
      </c>
      <c r="F46" s="739" t="s">
        <v>1178</v>
      </c>
      <c r="G46" s="740" t="s">
        <v>127</v>
      </c>
      <c r="H46" s="741" t="s">
        <v>143</v>
      </c>
      <c r="I46" s="740" t="s">
        <v>134</v>
      </c>
      <c r="J46" s="742">
        <v>1.6782999999999999E-2</v>
      </c>
      <c r="K46" s="740" t="s">
        <v>137</v>
      </c>
      <c r="L46" s="743" t="s">
        <v>137</v>
      </c>
      <c r="M46" s="743">
        <v>0</v>
      </c>
      <c r="N46" s="743">
        <v>0</v>
      </c>
      <c r="O46" s="743" t="s">
        <v>1207</v>
      </c>
      <c r="P46" s="740"/>
      <c r="Q46" s="774">
        <v>197.7</v>
      </c>
      <c r="R46" s="774">
        <v>50</v>
      </c>
      <c r="S46" s="774">
        <v>1.68</v>
      </c>
      <c r="T46" s="779">
        <v>77.599999999999994</v>
      </c>
      <c r="U46" s="779">
        <v>86.060960646159515</v>
      </c>
      <c r="V46" s="779">
        <v>90.013663487645417</v>
      </c>
      <c r="W46" s="779">
        <v>92.229348846799795</v>
      </c>
      <c r="X46" s="779">
        <v>94.604204666441106</v>
      </c>
      <c r="Y46" s="779">
        <v>97.442330806434342</v>
      </c>
      <c r="Z46" s="779">
        <v>100.36560073062738</v>
      </c>
      <c r="AA46" s="779">
        <v>103.37656875254621</v>
      </c>
      <c r="AB46" s="779">
        <v>106.4778658151226</v>
      </c>
      <c r="AC46" s="779">
        <v>109.67220178957628</v>
      </c>
    </row>
    <row r="47" spans="2:29" outlineLevel="1">
      <c r="B47" s="773" t="s">
        <v>974</v>
      </c>
      <c r="C47" s="739" t="s">
        <v>1179</v>
      </c>
      <c r="D47" s="739">
        <v>39133</v>
      </c>
      <c r="E47" s="739">
        <v>50091</v>
      </c>
      <c r="F47" s="739" t="s">
        <v>1180</v>
      </c>
      <c r="G47" s="740" t="s">
        <v>127</v>
      </c>
      <c r="H47" s="741" t="s">
        <v>143</v>
      </c>
      <c r="I47" s="740" t="s">
        <v>134</v>
      </c>
      <c r="J47" s="742">
        <v>1.9158000000000001E-2</v>
      </c>
      <c r="K47" s="740" t="s">
        <v>137</v>
      </c>
      <c r="L47" s="743" t="s">
        <v>137</v>
      </c>
      <c r="M47" s="743">
        <v>0</v>
      </c>
      <c r="N47" s="743">
        <v>0</v>
      </c>
      <c r="O47" s="743" t="s">
        <v>1207</v>
      </c>
      <c r="P47" s="740"/>
      <c r="Q47" s="774">
        <v>198.5</v>
      </c>
      <c r="R47" s="774">
        <v>100</v>
      </c>
      <c r="S47" s="774">
        <v>1.92</v>
      </c>
      <c r="T47" s="779">
        <v>155</v>
      </c>
      <c r="U47" s="779">
        <v>171.90011469271553</v>
      </c>
      <c r="V47" s="779">
        <v>179.79533299722991</v>
      </c>
      <c r="W47" s="779">
        <v>184.22099318626249</v>
      </c>
      <c r="X47" s="779">
        <v>188.96458406312334</v>
      </c>
      <c r="Y47" s="779">
        <v>194.63352158501704</v>
      </c>
      <c r="Z47" s="779">
        <v>200.47252723256756</v>
      </c>
      <c r="AA47" s="779">
        <v>206.48670304954459</v>
      </c>
      <c r="AB47" s="779">
        <v>212.68130414103092</v>
      </c>
      <c r="AC47" s="779">
        <v>219.06174326526187</v>
      </c>
    </row>
    <row r="48" spans="2:29" outlineLevel="1">
      <c r="B48" s="773" t="s">
        <v>975</v>
      </c>
      <c r="C48" s="739" t="s">
        <v>1181</v>
      </c>
      <c r="D48" s="739">
        <v>39134</v>
      </c>
      <c r="E48" s="739">
        <v>50273</v>
      </c>
      <c r="F48" s="739" t="s">
        <v>1182</v>
      </c>
      <c r="G48" s="740" t="s">
        <v>127</v>
      </c>
      <c r="H48" s="741" t="s">
        <v>143</v>
      </c>
      <c r="I48" s="740" t="s">
        <v>134</v>
      </c>
      <c r="J48" s="742">
        <v>1.9349999999999999E-2</v>
      </c>
      <c r="K48" s="740" t="s">
        <v>137</v>
      </c>
      <c r="L48" s="743" t="s">
        <v>137</v>
      </c>
      <c r="M48" s="743">
        <v>0</v>
      </c>
      <c r="N48" s="743">
        <v>0</v>
      </c>
      <c r="O48" s="743" t="s">
        <v>1207</v>
      </c>
      <c r="P48" s="740"/>
      <c r="Q48" s="774">
        <v>202.24286000000001</v>
      </c>
      <c r="R48" s="774">
        <v>25</v>
      </c>
      <c r="S48" s="774">
        <v>1.94</v>
      </c>
      <c r="T48" s="779">
        <v>39.700000000000003</v>
      </c>
      <c r="U48" s="779">
        <v>44.028610021295528</v>
      </c>
      <c r="V48" s="779">
        <v>46.050804645096946</v>
      </c>
      <c r="W48" s="779">
        <v>47.184344706416908</v>
      </c>
      <c r="X48" s="779">
        <v>48.399316047135464</v>
      </c>
      <c r="Y48" s="779">
        <v>49.851295528549528</v>
      </c>
      <c r="Z48" s="779">
        <v>51.346834394406017</v>
      </c>
      <c r="AA48" s="779">
        <v>52.887239426238196</v>
      </c>
      <c r="AB48" s="779">
        <v>54.47385660902534</v>
      </c>
      <c r="AC48" s="779">
        <v>56.108072307296105</v>
      </c>
    </row>
    <row r="49" spans="2:29" outlineLevel="1">
      <c r="B49" s="773" t="s">
        <v>976</v>
      </c>
      <c r="C49" s="739" t="s">
        <v>1183</v>
      </c>
      <c r="D49" s="739">
        <v>39142</v>
      </c>
      <c r="E49" s="739">
        <v>50161</v>
      </c>
      <c r="F49" s="739" t="s">
        <v>1184</v>
      </c>
      <c r="G49" s="740" t="s">
        <v>127</v>
      </c>
      <c r="H49" s="741" t="s">
        <v>143</v>
      </c>
      <c r="I49" s="740" t="s">
        <v>134</v>
      </c>
      <c r="J49" s="742">
        <v>1.8928E-2</v>
      </c>
      <c r="K49" s="740" t="s">
        <v>137</v>
      </c>
      <c r="L49" s="743" t="s">
        <v>137</v>
      </c>
      <c r="M49" s="743">
        <v>0</v>
      </c>
      <c r="N49" s="743">
        <v>0</v>
      </c>
      <c r="O49" s="743" t="s">
        <v>1207</v>
      </c>
      <c r="P49" s="740"/>
      <c r="Q49" s="774">
        <v>198.5</v>
      </c>
      <c r="R49" s="774">
        <v>50</v>
      </c>
      <c r="S49" s="774">
        <v>1.77</v>
      </c>
      <c r="T49" s="779">
        <v>77.8</v>
      </c>
      <c r="U49" s="779">
        <v>86.282767245763011</v>
      </c>
      <c r="V49" s="779">
        <v>90.245657465706344</v>
      </c>
      <c r="W49" s="779">
        <v>92.467053354136894</v>
      </c>
      <c r="X49" s="779">
        <v>94.848029936199964</v>
      </c>
      <c r="Y49" s="779">
        <v>97.693470834285961</v>
      </c>
      <c r="Z49" s="779">
        <v>100.62427495931455</v>
      </c>
      <c r="AA49" s="779">
        <v>103.64300320809399</v>
      </c>
      <c r="AB49" s="779">
        <v>106.7522933043368</v>
      </c>
      <c r="AC49" s="779">
        <v>109.95486210346691</v>
      </c>
    </row>
    <row r="50" spans="2:29" outlineLevel="1">
      <c r="B50" s="773" t="s">
        <v>977</v>
      </c>
      <c r="C50" s="739" t="s">
        <v>1185</v>
      </c>
      <c r="D50" s="739">
        <v>39141</v>
      </c>
      <c r="E50" s="739">
        <v>50161</v>
      </c>
      <c r="F50" s="739" t="s">
        <v>1186</v>
      </c>
      <c r="G50" s="740" t="s">
        <v>127</v>
      </c>
      <c r="H50" s="741" t="s">
        <v>143</v>
      </c>
      <c r="I50" s="740" t="s">
        <v>134</v>
      </c>
      <c r="J50" s="742">
        <v>1.9210999999999999E-2</v>
      </c>
      <c r="K50" s="740" t="s">
        <v>137</v>
      </c>
      <c r="L50" s="743" t="s">
        <v>137</v>
      </c>
      <c r="M50" s="743">
        <v>0</v>
      </c>
      <c r="N50" s="743">
        <v>0</v>
      </c>
      <c r="O50" s="743" t="s">
        <v>1207</v>
      </c>
      <c r="P50" s="740"/>
      <c r="Q50" s="774">
        <v>198.5</v>
      </c>
      <c r="R50" s="774">
        <v>65</v>
      </c>
      <c r="S50" s="774">
        <v>1.77</v>
      </c>
      <c r="T50" s="779">
        <v>101.2</v>
      </c>
      <c r="U50" s="779">
        <v>112.23413939937298</v>
      </c>
      <c r="V50" s="779">
        <v>117.38895289883655</v>
      </c>
      <c r="W50" s="779">
        <v>120.27848071257911</v>
      </c>
      <c r="X50" s="779">
        <v>123.37558649798763</v>
      </c>
      <c r="Y50" s="779">
        <v>127.07685409292726</v>
      </c>
      <c r="Z50" s="779">
        <v>130.8891597157151</v>
      </c>
      <c r="AA50" s="779">
        <v>134.81583450718657</v>
      </c>
      <c r="AB50" s="779">
        <v>138.86030954240218</v>
      </c>
      <c r="AC50" s="779">
        <v>143.02611882867424</v>
      </c>
    </row>
    <row r="51" spans="2:29" outlineLevel="1">
      <c r="B51" s="773" t="s">
        <v>978</v>
      </c>
      <c r="C51" s="739" t="s">
        <v>1187</v>
      </c>
      <c r="D51" s="739">
        <v>39157</v>
      </c>
      <c r="E51" s="739">
        <v>50146</v>
      </c>
      <c r="F51" s="739" t="s">
        <v>1188</v>
      </c>
      <c r="G51" s="740" t="s">
        <v>127</v>
      </c>
      <c r="H51" s="741" t="s">
        <v>143</v>
      </c>
      <c r="I51" s="740" t="s">
        <v>134</v>
      </c>
      <c r="J51" s="742">
        <v>1.7642000000000001E-2</v>
      </c>
      <c r="K51" s="740" t="s">
        <v>137</v>
      </c>
      <c r="L51" s="743" t="s">
        <v>137</v>
      </c>
      <c r="M51" s="743">
        <v>0</v>
      </c>
      <c r="N51" s="743">
        <v>0</v>
      </c>
      <c r="O51" s="743" t="s">
        <v>1207</v>
      </c>
      <c r="P51" s="740"/>
      <c r="Q51" s="774">
        <v>198.5</v>
      </c>
      <c r="R51" s="774">
        <v>50</v>
      </c>
      <c r="S51" s="774">
        <v>1.7</v>
      </c>
      <c r="T51" s="779">
        <v>77.8</v>
      </c>
      <c r="U51" s="779">
        <v>86.282767245763011</v>
      </c>
      <c r="V51" s="779">
        <v>90.245657465706344</v>
      </c>
      <c r="W51" s="779">
        <v>92.467053354136894</v>
      </c>
      <c r="X51" s="779">
        <v>94.848029936199964</v>
      </c>
      <c r="Y51" s="779">
        <v>97.693470834285961</v>
      </c>
      <c r="Z51" s="779">
        <v>100.62427495931455</v>
      </c>
      <c r="AA51" s="779">
        <v>103.64300320809399</v>
      </c>
      <c r="AB51" s="779">
        <v>106.7522933043368</v>
      </c>
      <c r="AC51" s="779">
        <v>109.95486210346691</v>
      </c>
    </row>
    <row r="52" spans="2:29" outlineLevel="1">
      <c r="B52" s="773" t="s">
        <v>979</v>
      </c>
      <c r="C52" s="739" t="s">
        <v>1189</v>
      </c>
      <c r="D52" s="739">
        <v>39169</v>
      </c>
      <c r="E52" s="739">
        <v>50280</v>
      </c>
      <c r="F52" s="739" t="s">
        <v>1190</v>
      </c>
      <c r="G52" s="740" t="s">
        <v>127</v>
      </c>
      <c r="H52" s="741" t="s">
        <v>143</v>
      </c>
      <c r="I52" s="740" t="s">
        <v>134</v>
      </c>
      <c r="J52" s="742">
        <v>1.7762E-2</v>
      </c>
      <c r="K52" s="740" t="s">
        <v>137</v>
      </c>
      <c r="L52" s="743" t="s">
        <v>137</v>
      </c>
      <c r="M52" s="743">
        <v>0</v>
      </c>
      <c r="N52" s="743">
        <v>0</v>
      </c>
      <c r="O52" s="743" t="s">
        <v>1207</v>
      </c>
      <c r="P52" s="740"/>
      <c r="Q52" s="774">
        <v>198.5</v>
      </c>
      <c r="R52" s="774">
        <v>100</v>
      </c>
      <c r="S52" s="774">
        <v>1.72</v>
      </c>
      <c r="T52" s="779">
        <v>154.6</v>
      </c>
      <c r="U52" s="779">
        <v>171.45650149350851</v>
      </c>
      <c r="V52" s="779">
        <v>179.33134504110799</v>
      </c>
      <c r="W52" s="779">
        <v>183.74558417158823</v>
      </c>
      <c r="X52" s="779">
        <v>188.4769335236056</v>
      </c>
      <c r="Y52" s="779">
        <v>194.13124152931377</v>
      </c>
      <c r="Z52" s="779">
        <v>199.95517877519319</v>
      </c>
      <c r="AA52" s="779">
        <v>205.953834138449</v>
      </c>
      <c r="AB52" s="779">
        <v>212.13244916260248</v>
      </c>
      <c r="AC52" s="779">
        <v>218.49642263748058</v>
      </c>
    </row>
    <row r="53" spans="2:29" outlineLevel="1">
      <c r="B53" s="773" t="s">
        <v>980</v>
      </c>
      <c r="C53" s="739" t="s">
        <v>1191</v>
      </c>
      <c r="D53" s="739">
        <v>39176</v>
      </c>
      <c r="E53" s="739">
        <v>50864</v>
      </c>
      <c r="F53" s="739" t="s">
        <v>1192</v>
      </c>
      <c r="G53" s="740" t="s">
        <v>127</v>
      </c>
      <c r="H53" s="741" t="s">
        <v>143</v>
      </c>
      <c r="I53" s="740" t="s">
        <v>134</v>
      </c>
      <c r="J53" s="742">
        <v>1.7743999999999999E-2</v>
      </c>
      <c r="K53" s="740" t="s">
        <v>137</v>
      </c>
      <c r="L53" s="743" t="s">
        <v>137</v>
      </c>
      <c r="M53" s="743">
        <v>0</v>
      </c>
      <c r="N53" s="743">
        <v>0</v>
      </c>
      <c r="O53" s="743" t="s">
        <v>1207</v>
      </c>
      <c r="P53" s="740"/>
      <c r="Q53" s="774">
        <v>199.2</v>
      </c>
      <c r="R53" s="774">
        <v>100</v>
      </c>
      <c r="S53" s="774">
        <v>1.77</v>
      </c>
      <c r="T53" s="779">
        <v>155.5</v>
      </c>
      <c r="U53" s="779">
        <v>172.45463119172427</v>
      </c>
      <c r="V53" s="779">
        <v>180.37531794238222</v>
      </c>
      <c r="W53" s="779">
        <v>184.81525445460525</v>
      </c>
      <c r="X53" s="779">
        <v>189.57414723752049</v>
      </c>
      <c r="Y53" s="779">
        <v>195.2613716546461</v>
      </c>
      <c r="Z53" s="779">
        <v>201.1192128042855</v>
      </c>
      <c r="AA53" s="779">
        <v>207.15278918841406</v>
      </c>
      <c r="AB53" s="779">
        <v>213.36737286406648</v>
      </c>
      <c r="AC53" s="779">
        <v>219.76839404998847</v>
      </c>
    </row>
    <row r="54" spans="2:29" outlineLevel="1">
      <c r="B54" s="773" t="s">
        <v>981</v>
      </c>
      <c r="C54" s="739" t="s">
        <v>1193</v>
      </c>
      <c r="D54" s="739">
        <v>39316</v>
      </c>
      <c r="E54" s="739">
        <v>55753</v>
      </c>
      <c r="F54" s="739" t="s">
        <v>1194</v>
      </c>
      <c r="G54" s="740" t="s">
        <v>127</v>
      </c>
      <c r="H54" s="741" t="s">
        <v>143</v>
      </c>
      <c r="I54" s="740" t="s">
        <v>134</v>
      </c>
      <c r="J54" s="742">
        <v>1.5803000000000001E-2</v>
      </c>
      <c r="K54" s="740" t="s">
        <v>137</v>
      </c>
      <c r="L54" s="743" t="s">
        <v>137</v>
      </c>
      <c r="M54" s="743">
        <v>0</v>
      </c>
      <c r="N54" s="743">
        <v>0</v>
      </c>
      <c r="O54" s="743" t="s">
        <v>1207</v>
      </c>
      <c r="P54" s="740"/>
      <c r="Q54" s="774">
        <v>202.7</v>
      </c>
      <c r="R54" s="774">
        <v>75</v>
      </c>
      <c r="S54" s="774">
        <v>1.58</v>
      </c>
      <c r="T54" s="779">
        <v>113.7</v>
      </c>
      <c r="U54" s="779">
        <v>126.09705187459197</v>
      </c>
      <c r="V54" s="779">
        <v>131.8885765276454</v>
      </c>
      <c r="W54" s="779">
        <v>135.13501242114864</v>
      </c>
      <c r="X54" s="779">
        <v>138.61466585791689</v>
      </c>
      <c r="Y54" s="779">
        <v>142.7731058336544</v>
      </c>
      <c r="Z54" s="779">
        <v>147.05629900866404</v>
      </c>
      <c r="AA54" s="779">
        <v>151.46798797892396</v>
      </c>
      <c r="AB54" s="779">
        <v>156.01202761829168</v>
      </c>
      <c r="AC54" s="779">
        <v>160.69238844684043</v>
      </c>
    </row>
    <row r="55" spans="2:29" outlineLevel="1">
      <c r="B55" s="773" t="s">
        <v>982</v>
      </c>
      <c r="C55" s="739" t="s">
        <v>1195</v>
      </c>
      <c r="D55" s="739">
        <v>39381</v>
      </c>
      <c r="E55" s="739">
        <v>50339</v>
      </c>
      <c r="F55" s="739" t="s">
        <v>1196</v>
      </c>
      <c r="G55" s="740" t="s">
        <v>127</v>
      </c>
      <c r="H55" s="741" t="s">
        <v>143</v>
      </c>
      <c r="I55" s="740" t="s">
        <v>134</v>
      </c>
      <c r="J55" s="742">
        <v>1.8079999999999999E-2</v>
      </c>
      <c r="K55" s="740" t="s">
        <v>137</v>
      </c>
      <c r="L55" s="743" t="s">
        <v>137</v>
      </c>
      <c r="M55" s="743">
        <v>0</v>
      </c>
      <c r="N55" s="743">
        <v>0</v>
      </c>
      <c r="O55" s="743" t="s">
        <v>1207</v>
      </c>
      <c r="P55" s="740"/>
      <c r="Q55" s="774">
        <v>207.06773999999999</v>
      </c>
      <c r="R55" s="774">
        <v>25</v>
      </c>
      <c r="S55" s="774">
        <v>1.81</v>
      </c>
      <c r="T55" s="779">
        <v>38.700000000000003</v>
      </c>
      <c r="U55" s="779">
        <v>42.919577023278009</v>
      </c>
      <c r="V55" s="779">
        <v>44.890834754792238</v>
      </c>
      <c r="W55" s="779">
        <v>45.995822169731341</v>
      </c>
      <c r="X55" s="779">
        <v>47.180189698341117</v>
      </c>
      <c r="Y55" s="779">
        <v>48.595595389291354</v>
      </c>
      <c r="Z55" s="779">
        <v>50.053463250970097</v>
      </c>
      <c r="AA55" s="779">
        <v>51.555067148499198</v>
      </c>
      <c r="AB55" s="779">
        <v>53.101719162954176</v>
      </c>
      <c r="AC55" s="779">
        <v>54.694770737842802</v>
      </c>
    </row>
    <row r="56" spans="2:29" outlineLevel="1">
      <c r="B56" s="773" t="s">
        <v>983</v>
      </c>
      <c r="C56" s="739" t="s">
        <v>1197</v>
      </c>
      <c r="D56" s="739">
        <v>40388</v>
      </c>
      <c r="E56" s="739">
        <v>51711</v>
      </c>
      <c r="F56" s="739" t="s">
        <v>1198</v>
      </c>
      <c r="G56" s="740" t="s">
        <v>127</v>
      </c>
      <c r="H56" s="741" t="s">
        <v>143</v>
      </c>
      <c r="I56" s="740" t="s">
        <v>134</v>
      </c>
      <c r="J56" s="742">
        <v>2.4840000000000001E-2</v>
      </c>
      <c r="K56" s="740" t="s">
        <v>137</v>
      </c>
      <c r="L56" s="743" t="s">
        <v>137</v>
      </c>
      <c r="M56" s="743">
        <v>0</v>
      </c>
      <c r="N56" s="743">
        <v>0</v>
      </c>
      <c r="O56" s="743" t="s">
        <v>1207</v>
      </c>
      <c r="P56" s="740"/>
      <c r="Q56" s="774">
        <v>223.52258</v>
      </c>
      <c r="R56" s="774">
        <v>50</v>
      </c>
      <c r="S56" s="774">
        <v>2.48</v>
      </c>
      <c r="T56" s="779">
        <v>51.6</v>
      </c>
      <c r="U56" s="779">
        <v>51.7</v>
      </c>
      <c r="V56" s="779">
        <v>50.1</v>
      </c>
      <c r="W56" s="779">
        <v>47.3</v>
      </c>
      <c r="X56" s="779">
        <v>44.3</v>
      </c>
      <c r="Y56" s="779">
        <v>43.1</v>
      </c>
      <c r="Z56" s="779">
        <v>39.799999999999997</v>
      </c>
      <c r="AA56" s="779">
        <v>36.299999999999997</v>
      </c>
      <c r="AB56" s="779">
        <v>32.5</v>
      </c>
      <c r="AC56" s="779">
        <v>28.5</v>
      </c>
    </row>
    <row r="57" spans="2:29" outlineLevel="1">
      <c r="B57" s="773" t="s">
        <v>984</v>
      </c>
      <c r="C57" s="739" t="s">
        <v>1199</v>
      </c>
      <c r="D57" s="739">
        <v>33546</v>
      </c>
      <c r="E57" s="739">
        <v>44504</v>
      </c>
      <c r="F57" s="739" t="s">
        <v>1200</v>
      </c>
      <c r="G57" s="740" t="s">
        <v>125</v>
      </c>
      <c r="H57" s="741" t="s">
        <v>143</v>
      </c>
      <c r="I57" s="740" t="s">
        <v>129</v>
      </c>
      <c r="J57" s="742">
        <v>8.5199999999999998E-2</v>
      </c>
      <c r="K57" s="740" t="s">
        <v>139</v>
      </c>
      <c r="L57" s="743" t="s">
        <v>139</v>
      </c>
      <c r="M57" s="743">
        <v>0</v>
      </c>
      <c r="N57" s="743">
        <v>100</v>
      </c>
      <c r="O57" s="743" t="s">
        <v>1212</v>
      </c>
      <c r="P57" s="740"/>
      <c r="Q57" s="774">
        <v>0</v>
      </c>
      <c r="R57" s="774">
        <v>71.967351533914993</v>
      </c>
      <c r="S57" s="774">
        <v>8</v>
      </c>
      <c r="T57" s="779">
        <v>0</v>
      </c>
      <c r="U57" s="779">
        <v>0</v>
      </c>
      <c r="V57" s="779">
        <v>0</v>
      </c>
      <c r="W57" s="779">
        <v>0</v>
      </c>
      <c r="X57" s="779">
        <v>0</v>
      </c>
      <c r="Y57" s="779">
        <v>0</v>
      </c>
      <c r="Z57" s="779">
        <v>0</v>
      </c>
      <c r="AA57" s="779">
        <v>0</v>
      </c>
      <c r="AB57" s="779">
        <v>0</v>
      </c>
      <c r="AC57" s="779">
        <v>0</v>
      </c>
    </row>
    <row r="58" spans="2:29" outlineLevel="1">
      <c r="B58" s="773" t="s">
        <v>985</v>
      </c>
      <c r="C58" s="739" t="s">
        <v>1201</v>
      </c>
      <c r="D58" s="739">
        <v>43861</v>
      </c>
      <c r="E58" s="739">
        <v>47886</v>
      </c>
      <c r="F58" s="739" t="s">
        <v>1202</v>
      </c>
      <c r="G58" s="740" t="s">
        <v>125</v>
      </c>
      <c r="H58" s="741" t="s">
        <v>143</v>
      </c>
      <c r="I58" s="740" t="s">
        <v>129</v>
      </c>
      <c r="J58" s="742">
        <v>1.375E-2</v>
      </c>
      <c r="K58" s="740" t="s">
        <v>137</v>
      </c>
      <c r="L58" s="743" t="s">
        <v>137</v>
      </c>
      <c r="M58" s="743">
        <v>0</v>
      </c>
      <c r="N58" s="743">
        <v>0</v>
      </c>
      <c r="O58" s="743" t="s">
        <v>1207</v>
      </c>
      <c r="P58" s="740"/>
      <c r="Q58" s="774">
        <v>0</v>
      </c>
      <c r="R58" s="774">
        <v>300</v>
      </c>
      <c r="S58" s="774">
        <v>1.47222735</v>
      </c>
      <c r="T58" s="779">
        <v>281.5</v>
      </c>
      <c r="U58" s="779">
        <v>281.5</v>
      </c>
      <c r="V58" s="779">
        <v>281.5</v>
      </c>
      <c r="W58" s="779">
        <v>281.5</v>
      </c>
      <c r="X58" s="779">
        <v>281.5</v>
      </c>
      <c r="Y58" s="779">
        <v>281.5</v>
      </c>
      <c r="Z58" s="779">
        <v>281.5</v>
      </c>
      <c r="AA58" s="779">
        <v>281.5</v>
      </c>
      <c r="AB58" s="779">
        <v>281.5</v>
      </c>
      <c r="AC58" s="779">
        <v>0</v>
      </c>
    </row>
    <row r="59" spans="2:29" outlineLevel="1">
      <c r="B59" s="773" t="s">
        <v>986</v>
      </c>
      <c r="C59" s="739" t="s">
        <v>1203</v>
      </c>
      <c r="D59" s="739">
        <v>44210</v>
      </c>
      <c r="E59" s="739">
        <v>48593</v>
      </c>
      <c r="F59" s="739" t="s">
        <v>1204</v>
      </c>
      <c r="G59" s="740" t="s">
        <v>125</v>
      </c>
      <c r="H59" s="741" t="s">
        <v>143</v>
      </c>
      <c r="I59" s="740" t="s">
        <v>129</v>
      </c>
      <c r="J59" s="742">
        <v>1.125E-2</v>
      </c>
      <c r="K59" s="740" t="s">
        <v>137</v>
      </c>
      <c r="L59" s="743" t="s">
        <v>137</v>
      </c>
      <c r="M59" s="743">
        <v>0</v>
      </c>
      <c r="N59" s="743">
        <v>0</v>
      </c>
      <c r="O59" s="743" t="s">
        <v>1207</v>
      </c>
      <c r="P59" s="740"/>
      <c r="Q59" s="774">
        <v>0</v>
      </c>
      <c r="R59" s="774">
        <v>250</v>
      </c>
      <c r="S59" s="774">
        <v>1.19469889</v>
      </c>
      <c r="T59" s="779">
        <v>248.3</v>
      </c>
      <c r="U59" s="779">
        <v>248.3</v>
      </c>
      <c r="V59" s="779">
        <v>248.3</v>
      </c>
      <c r="W59" s="779">
        <v>248.3</v>
      </c>
      <c r="X59" s="779">
        <v>248.3</v>
      </c>
      <c r="Y59" s="779">
        <v>248.3</v>
      </c>
      <c r="Z59" s="779">
        <v>248.3</v>
      </c>
      <c r="AA59" s="779">
        <v>248.3</v>
      </c>
      <c r="AB59" s="779">
        <v>248.3</v>
      </c>
      <c r="AC59" s="779">
        <v>248.3</v>
      </c>
    </row>
    <row r="60" spans="2:29" outlineLevel="1">
      <c r="B60" s="773"/>
      <c r="C60" s="739" t="s">
        <v>1205</v>
      </c>
      <c r="D60" s="739">
        <v>44210</v>
      </c>
      <c r="E60" s="739">
        <v>52245</v>
      </c>
      <c r="F60" s="739" t="s">
        <v>1206</v>
      </c>
      <c r="G60" s="740" t="s">
        <v>125</v>
      </c>
      <c r="H60" s="741" t="s">
        <v>143</v>
      </c>
      <c r="I60" s="740" t="s">
        <v>129</v>
      </c>
      <c r="J60" s="742">
        <v>1.6250000000000001E-2</v>
      </c>
      <c r="K60" s="740" t="s">
        <v>137</v>
      </c>
      <c r="L60" s="743" t="s">
        <v>137</v>
      </c>
      <c r="M60" s="743">
        <v>0</v>
      </c>
      <c r="N60" s="743">
        <v>0</v>
      </c>
      <c r="O60" s="743" t="s">
        <v>1207</v>
      </c>
      <c r="P60" s="740"/>
      <c r="Q60" s="774">
        <v>0</v>
      </c>
      <c r="R60" s="774">
        <v>250</v>
      </c>
      <c r="S60" s="774">
        <v>1.6567642300000001</v>
      </c>
      <c r="T60" s="779">
        <v>241.6</v>
      </c>
      <c r="U60" s="779">
        <v>241.6</v>
      </c>
      <c r="V60" s="779">
        <v>241.6</v>
      </c>
      <c r="W60" s="779">
        <v>241.6</v>
      </c>
      <c r="X60" s="779">
        <v>241.6</v>
      </c>
      <c r="Y60" s="779">
        <v>241.6</v>
      </c>
      <c r="Z60" s="779">
        <v>241.6</v>
      </c>
      <c r="AA60" s="779">
        <v>241.6</v>
      </c>
      <c r="AB60" s="779">
        <v>241.6</v>
      </c>
      <c r="AC60" s="779">
        <v>241.6</v>
      </c>
    </row>
    <row r="61" spans="2:29" outlineLevel="1">
      <c r="B61" s="773" t="s">
        <v>987</v>
      </c>
      <c r="C61" s="1085" t="s">
        <v>479</v>
      </c>
      <c r="D61" s="1085"/>
      <c r="E61" s="1085"/>
      <c r="F61" s="1085"/>
      <c r="G61" s="1085"/>
      <c r="H61" s="1085"/>
      <c r="I61" s="1085"/>
      <c r="J61" s="1085"/>
      <c r="K61" s="1085"/>
      <c r="L61" s="1085"/>
      <c r="M61" s="1085"/>
      <c r="N61" s="1085"/>
      <c r="O61" s="1085"/>
      <c r="P61" s="1085"/>
      <c r="Q61" s="1085"/>
      <c r="R61" s="1085"/>
      <c r="S61" s="1085"/>
      <c r="T61" s="725"/>
      <c r="U61" s="725"/>
      <c r="V61" s="725"/>
      <c r="W61" s="725"/>
      <c r="X61" s="725"/>
      <c r="Y61" s="725"/>
      <c r="Z61" s="725"/>
      <c r="AA61" s="725"/>
      <c r="AB61" s="725"/>
      <c r="AC61" s="725"/>
    </row>
    <row r="62" spans="2:29" outlineLevel="1">
      <c r="B62" s="730" t="s">
        <v>667</v>
      </c>
      <c r="AB62" s="179"/>
    </row>
    <row r="63" spans="2:29" outlineLevel="1">
      <c r="F63" s="98" t="s">
        <v>541</v>
      </c>
      <c r="G63" s="98"/>
      <c r="H63" s="98"/>
      <c r="I63" s="98"/>
      <c r="P63" s="264"/>
      <c r="AB63" s="179"/>
    </row>
    <row r="64" spans="2:29" s="248" customFormat="1" ht="54.75" customHeight="1" outlineLevel="1">
      <c r="B64" s="697"/>
      <c r="C64" s="723" t="s">
        <v>668</v>
      </c>
      <c r="D64" s="536" t="s">
        <v>469</v>
      </c>
      <c r="E64" s="536" t="s">
        <v>470</v>
      </c>
      <c r="F64" s="536" t="s">
        <v>445</v>
      </c>
      <c r="G64" s="536" t="s">
        <v>669</v>
      </c>
      <c r="H64" s="723" t="s">
        <v>655</v>
      </c>
      <c r="I64" s="723" t="s">
        <v>128</v>
      </c>
      <c r="J64" s="723" t="s">
        <v>670</v>
      </c>
      <c r="K64" s="723" t="s">
        <v>657</v>
      </c>
      <c r="L64" s="723" t="s">
        <v>671</v>
      </c>
      <c r="M64" s="723" t="s">
        <v>659</v>
      </c>
      <c r="N64" s="723" t="s">
        <v>660</v>
      </c>
      <c r="O64" s="723" t="s">
        <v>661</v>
      </c>
      <c r="P64" s="723" t="s">
        <v>149</v>
      </c>
      <c r="Q64" s="723" t="s">
        <v>662</v>
      </c>
      <c r="R64" s="723" t="s">
        <v>152</v>
      </c>
      <c r="S64" s="723" t="s">
        <v>672</v>
      </c>
      <c r="AB64" s="249"/>
    </row>
    <row r="65" spans="2:29" ht="27" outlineLevel="1">
      <c r="B65" s="729" t="s">
        <v>397</v>
      </c>
      <c r="C65" s="729"/>
      <c r="D65" s="728" t="s">
        <v>472</v>
      </c>
      <c r="E65" s="728" t="s">
        <v>472</v>
      </c>
      <c r="F65" s="736"/>
      <c r="G65" s="728"/>
      <c r="H65" s="728"/>
      <c r="I65" s="737"/>
      <c r="J65" s="728" t="s">
        <v>673</v>
      </c>
      <c r="K65" s="738" t="s">
        <v>674</v>
      </c>
      <c r="L65" s="738" t="s">
        <v>398</v>
      </c>
      <c r="M65" s="738" t="s">
        <v>398</v>
      </c>
      <c r="N65" s="738" t="s">
        <v>194</v>
      </c>
      <c r="O65" s="738" t="s">
        <v>666</v>
      </c>
      <c r="P65" s="738"/>
      <c r="Q65" s="738"/>
      <c r="R65" s="738"/>
      <c r="S65" s="738" t="s">
        <v>398</v>
      </c>
      <c r="T65" s="749" t="s">
        <v>398</v>
      </c>
      <c r="U65" s="536" t="s">
        <v>398</v>
      </c>
      <c r="V65" s="536" t="s">
        <v>398</v>
      </c>
      <c r="W65" s="536" t="s">
        <v>398</v>
      </c>
      <c r="X65" s="536" t="s">
        <v>398</v>
      </c>
      <c r="Y65" s="536" t="s">
        <v>398</v>
      </c>
      <c r="Z65" s="536" t="s">
        <v>398</v>
      </c>
      <c r="AA65" s="536" t="s">
        <v>398</v>
      </c>
      <c r="AB65" s="536" t="s">
        <v>398</v>
      </c>
      <c r="AC65" s="536" t="s">
        <v>398</v>
      </c>
    </row>
    <row r="66" spans="2:29" outlineLevel="1">
      <c r="B66" s="730" t="s">
        <v>406</v>
      </c>
      <c r="C66" s="739" t="s">
        <v>1158</v>
      </c>
      <c r="D66" s="739">
        <v>39163</v>
      </c>
      <c r="E66" s="739">
        <v>44642</v>
      </c>
      <c r="F66" s="739" t="s">
        <v>1213</v>
      </c>
      <c r="G66" s="739" t="s">
        <v>127</v>
      </c>
      <c r="H66" s="739" t="s">
        <v>143</v>
      </c>
      <c r="I66" s="739" t="s">
        <v>134</v>
      </c>
      <c r="J66" s="742">
        <v>1.8800000000000001E-2</v>
      </c>
      <c r="K66" s="739" t="s">
        <v>137</v>
      </c>
      <c r="L66" s="750" t="s">
        <v>1207</v>
      </c>
      <c r="M66" s="750"/>
      <c r="N66" s="742">
        <v>0</v>
      </c>
      <c r="O66" s="739" t="s">
        <v>1207</v>
      </c>
      <c r="P66" s="739"/>
      <c r="Q66" s="751">
        <v>198.5</v>
      </c>
      <c r="R66" s="739"/>
      <c r="S66" s="751" t="s">
        <v>1207</v>
      </c>
      <c r="T66" s="779">
        <v>0</v>
      </c>
      <c r="U66" s="779">
        <v>0</v>
      </c>
      <c r="V66" s="779">
        <v>0</v>
      </c>
      <c r="W66" s="779">
        <v>0</v>
      </c>
      <c r="X66" s="779">
        <v>0</v>
      </c>
      <c r="Y66" s="779">
        <v>0</v>
      </c>
      <c r="Z66" s="779">
        <v>0</v>
      </c>
      <c r="AA66" s="779">
        <v>0</v>
      </c>
      <c r="AB66" s="779">
        <v>0</v>
      </c>
      <c r="AC66" s="779">
        <v>0</v>
      </c>
    </row>
    <row r="67" spans="2:29" outlineLevel="1">
      <c r="B67" s="730" t="s">
        <v>407</v>
      </c>
      <c r="C67" s="739" t="s">
        <v>1158</v>
      </c>
      <c r="D67" s="739">
        <v>39205</v>
      </c>
      <c r="E67" s="739">
        <v>44684</v>
      </c>
      <c r="F67" s="739" t="s">
        <v>1214</v>
      </c>
      <c r="G67" s="739" t="s">
        <v>127</v>
      </c>
      <c r="H67" s="739" t="s">
        <v>143</v>
      </c>
      <c r="I67" s="739" t="s">
        <v>134</v>
      </c>
      <c r="J67" s="742">
        <v>2.1399999999999999E-2</v>
      </c>
      <c r="K67" s="739" t="s">
        <v>137</v>
      </c>
      <c r="L67" s="750" t="s">
        <v>1207</v>
      </c>
      <c r="M67" s="750"/>
      <c r="N67" s="742">
        <v>0</v>
      </c>
      <c r="O67" s="739" t="s">
        <v>1207</v>
      </c>
      <c r="P67" s="739"/>
      <c r="Q67" s="751">
        <v>200.1</v>
      </c>
      <c r="R67" s="739"/>
      <c r="S67" s="751" t="s">
        <v>1207</v>
      </c>
      <c r="T67" s="779">
        <v>293.60000000000002</v>
      </c>
      <c r="U67" s="779">
        <v>0</v>
      </c>
      <c r="V67" s="779">
        <v>0</v>
      </c>
      <c r="W67" s="779">
        <v>0</v>
      </c>
      <c r="X67" s="779">
        <v>0</v>
      </c>
      <c r="Y67" s="779">
        <v>0</v>
      </c>
      <c r="Z67" s="779">
        <v>0</v>
      </c>
      <c r="AA67" s="779">
        <v>0</v>
      </c>
      <c r="AB67" s="779">
        <v>0</v>
      </c>
      <c r="AC67" s="779">
        <v>0</v>
      </c>
    </row>
    <row r="68" spans="2:29" outlineLevel="1">
      <c r="B68" s="730" t="s">
        <v>408</v>
      </c>
      <c r="C68" s="739"/>
      <c r="D68" s="739"/>
      <c r="E68" s="739"/>
      <c r="F68" s="739"/>
      <c r="G68" s="739"/>
      <c r="H68" s="739"/>
      <c r="I68" s="739"/>
      <c r="J68" s="742"/>
      <c r="K68" s="739"/>
      <c r="L68" s="750"/>
      <c r="M68" s="750"/>
      <c r="N68" s="742"/>
      <c r="O68" s="739"/>
      <c r="P68" s="739"/>
      <c r="Q68" s="739"/>
      <c r="R68" s="739"/>
      <c r="S68" s="751"/>
      <c r="T68" s="779">
        <v>0</v>
      </c>
      <c r="U68" s="779">
        <v>0</v>
      </c>
      <c r="V68" s="779">
        <v>0</v>
      </c>
      <c r="W68" s="779">
        <v>0</v>
      </c>
      <c r="X68" s="779">
        <v>0</v>
      </c>
      <c r="Y68" s="779">
        <v>0</v>
      </c>
      <c r="Z68" s="779">
        <v>0</v>
      </c>
      <c r="AA68" s="779">
        <v>0</v>
      </c>
      <c r="AB68" s="779">
        <v>0</v>
      </c>
      <c r="AC68" s="779">
        <v>0</v>
      </c>
    </row>
    <row r="69" spans="2:29" outlineLevel="1">
      <c r="B69" s="730" t="s">
        <v>409</v>
      </c>
      <c r="C69" s="739" t="s">
        <v>1215</v>
      </c>
      <c r="D69" s="739" t="s">
        <v>1215</v>
      </c>
      <c r="E69" s="739" t="s">
        <v>1215</v>
      </c>
      <c r="F69" s="739" t="s">
        <v>1215</v>
      </c>
      <c r="G69" s="739"/>
      <c r="H69" s="739"/>
      <c r="I69" s="739"/>
      <c r="J69" s="742"/>
      <c r="K69" s="739"/>
      <c r="L69" s="750"/>
      <c r="M69" s="750"/>
      <c r="N69" s="742"/>
      <c r="O69" s="739"/>
      <c r="P69" s="739"/>
      <c r="Q69" s="739"/>
      <c r="R69" s="739"/>
      <c r="S69" s="751"/>
      <c r="T69" s="779">
        <v>10.7</v>
      </c>
      <c r="U69" s="779">
        <v>10.7</v>
      </c>
      <c r="V69" s="779">
        <v>10.7</v>
      </c>
      <c r="W69" s="779">
        <v>10.7</v>
      </c>
      <c r="X69" s="779">
        <v>10.7</v>
      </c>
      <c r="Y69" s="779">
        <v>10.7</v>
      </c>
      <c r="Z69" s="779">
        <v>10.7</v>
      </c>
      <c r="AA69" s="779">
        <v>10.7</v>
      </c>
      <c r="AB69" s="779">
        <v>10.7</v>
      </c>
      <c r="AC69" s="779">
        <v>10.7</v>
      </c>
    </row>
    <row r="70" spans="2:29" outlineLevel="1">
      <c r="B70" s="730" t="s">
        <v>410</v>
      </c>
      <c r="C70" s="739"/>
      <c r="D70" s="739"/>
      <c r="E70" s="739"/>
      <c r="F70" s="739"/>
      <c r="G70" s="739"/>
      <c r="H70" s="739"/>
      <c r="I70" s="739"/>
      <c r="J70" s="742"/>
      <c r="K70" s="739"/>
      <c r="L70" s="750"/>
      <c r="M70" s="750"/>
      <c r="N70" s="742"/>
      <c r="O70" s="739"/>
      <c r="P70" s="739"/>
      <c r="Q70" s="739"/>
      <c r="R70" s="739"/>
      <c r="S70" s="751"/>
      <c r="T70" s="779">
        <v>0</v>
      </c>
      <c r="U70" s="779">
        <v>0</v>
      </c>
      <c r="V70" s="779">
        <v>0</v>
      </c>
      <c r="W70" s="779">
        <v>0</v>
      </c>
      <c r="X70" s="779">
        <v>0</v>
      </c>
      <c r="Y70" s="779">
        <v>0</v>
      </c>
      <c r="Z70" s="779">
        <v>0</v>
      </c>
      <c r="AA70" s="779">
        <v>0</v>
      </c>
      <c r="AB70" s="779">
        <v>0</v>
      </c>
      <c r="AC70" s="779">
        <v>0</v>
      </c>
    </row>
    <row r="71" spans="2:29" outlineLevel="1">
      <c r="B71" s="730" t="s">
        <v>411</v>
      </c>
      <c r="C71" s="739"/>
      <c r="D71" s="739"/>
      <c r="E71" s="739"/>
      <c r="F71" s="739"/>
      <c r="G71" s="739"/>
      <c r="H71" s="739"/>
      <c r="I71" s="739"/>
      <c r="J71" s="742"/>
      <c r="K71" s="739"/>
      <c r="L71" s="750"/>
      <c r="M71" s="750"/>
      <c r="N71" s="742"/>
      <c r="O71" s="739"/>
      <c r="P71" s="739"/>
      <c r="Q71" s="739"/>
      <c r="R71" s="739"/>
      <c r="S71" s="751"/>
      <c r="T71" s="779">
        <v>0</v>
      </c>
      <c r="U71" s="779">
        <v>0</v>
      </c>
      <c r="V71" s="779">
        <v>0</v>
      </c>
      <c r="W71" s="779">
        <v>0</v>
      </c>
      <c r="X71" s="779">
        <v>0</v>
      </c>
      <c r="Y71" s="779">
        <v>0</v>
      </c>
      <c r="Z71" s="779">
        <v>0</v>
      </c>
      <c r="AA71" s="779">
        <v>0</v>
      </c>
      <c r="AB71" s="779">
        <v>0</v>
      </c>
      <c r="AC71" s="779">
        <v>0</v>
      </c>
    </row>
    <row r="72" spans="2:29" outlineLevel="1">
      <c r="B72" s="730" t="s">
        <v>412</v>
      </c>
      <c r="C72" s="739"/>
      <c r="D72" s="739"/>
      <c r="E72" s="739"/>
      <c r="F72" s="739"/>
      <c r="G72" s="739"/>
      <c r="H72" s="739"/>
      <c r="I72" s="739"/>
      <c r="J72" s="742"/>
      <c r="K72" s="739"/>
      <c r="L72" s="750"/>
      <c r="M72" s="750"/>
      <c r="N72" s="742"/>
      <c r="O72" s="739"/>
      <c r="P72" s="739"/>
      <c r="Q72" s="739"/>
      <c r="R72" s="739"/>
      <c r="S72" s="751"/>
      <c r="T72" s="779">
        <v>0</v>
      </c>
      <c r="U72" s="779">
        <v>0</v>
      </c>
      <c r="V72" s="779">
        <v>0</v>
      </c>
      <c r="W72" s="779">
        <v>0</v>
      </c>
      <c r="X72" s="779">
        <v>0</v>
      </c>
      <c r="Y72" s="779">
        <v>0</v>
      </c>
      <c r="Z72" s="779">
        <v>0</v>
      </c>
      <c r="AA72" s="779">
        <v>0</v>
      </c>
      <c r="AB72" s="779">
        <v>0</v>
      </c>
      <c r="AC72" s="779">
        <v>0</v>
      </c>
    </row>
    <row r="73" spans="2:29" outlineLevel="1">
      <c r="B73" s="730" t="s">
        <v>413</v>
      </c>
      <c r="C73" s="739"/>
      <c r="D73" s="739"/>
      <c r="E73" s="739"/>
      <c r="F73" s="739"/>
      <c r="G73" s="739"/>
      <c r="H73" s="739"/>
      <c r="I73" s="739"/>
      <c r="J73" s="742"/>
      <c r="K73" s="739"/>
      <c r="L73" s="750"/>
      <c r="M73" s="750"/>
      <c r="N73" s="742"/>
      <c r="O73" s="739"/>
      <c r="P73" s="739"/>
      <c r="Q73" s="739"/>
      <c r="R73" s="739"/>
      <c r="S73" s="751"/>
      <c r="T73" s="779">
        <v>0</v>
      </c>
      <c r="U73" s="779">
        <v>0</v>
      </c>
      <c r="V73" s="779">
        <v>0</v>
      </c>
      <c r="W73" s="779">
        <v>0</v>
      </c>
      <c r="X73" s="779">
        <v>0</v>
      </c>
      <c r="Y73" s="779">
        <v>0</v>
      </c>
      <c r="Z73" s="779">
        <v>0</v>
      </c>
      <c r="AA73" s="779">
        <v>0</v>
      </c>
      <c r="AB73" s="779">
        <v>0</v>
      </c>
      <c r="AC73" s="779">
        <v>0</v>
      </c>
    </row>
    <row r="74" spans="2:29" outlineLevel="1">
      <c r="B74" s="730" t="s">
        <v>414</v>
      </c>
      <c r="C74" s="739"/>
      <c r="D74" s="739"/>
      <c r="E74" s="739"/>
      <c r="F74" s="739"/>
      <c r="G74" s="739"/>
      <c r="H74" s="739"/>
      <c r="I74" s="739"/>
      <c r="J74" s="742"/>
      <c r="K74" s="739"/>
      <c r="L74" s="750"/>
      <c r="M74" s="750"/>
      <c r="N74" s="742"/>
      <c r="O74" s="739"/>
      <c r="P74" s="739"/>
      <c r="Q74" s="739"/>
      <c r="R74" s="739"/>
      <c r="S74" s="751"/>
      <c r="T74" s="779">
        <v>0</v>
      </c>
      <c r="U74" s="779">
        <v>0</v>
      </c>
      <c r="V74" s="779">
        <v>0</v>
      </c>
      <c r="W74" s="779">
        <v>0</v>
      </c>
      <c r="X74" s="779">
        <v>0</v>
      </c>
      <c r="Y74" s="779">
        <v>0</v>
      </c>
      <c r="Z74" s="779">
        <v>0</v>
      </c>
      <c r="AA74" s="779">
        <v>0</v>
      </c>
      <c r="AB74" s="779">
        <v>0</v>
      </c>
      <c r="AC74" s="779">
        <v>0</v>
      </c>
    </row>
    <row r="75" spans="2:29" outlineLevel="1">
      <c r="B75" s="730" t="s">
        <v>415</v>
      </c>
      <c r="C75" s="739"/>
      <c r="D75" s="739"/>
      <c r="E75" s="739"/>
      <c r="F75" s="739"/>
      <c r="G75" s="739"/>
      <c r="H75" s="739"/>
      <c r="I75" s="739"/>
      <c r="J75" s="742"/>
      <c r="K75" s="739"/>
      <c r="L75" s="750"/>
      <c r="M75" s="750"/>
      <c r="N75" s="742"/>
      <c r="O75" s="739"/>
      <c r="P75" s="739"/>
      <c r="Q75" s="739"/>
      <c r="R75" s="739"/>
      <c r="S75" s="751"/>
      <c r="T75" s="779">
        <v>0</v>
      </c>
      <c r="U75" s="779">
        <v>0</v>
      </c>
      <c r="V75" s="779">
        <v>0</v>
      </c>
      <c r="W75" s="779">
        <v>0</v>
      </c>
      <c r="X75" s="779">
        <v>0</v>
      </c>
      <c r="Y75" s="779">
        <v>0</v>
      </c>
      <c r="Z75" s="779">
        <v>0</v>
      </c>
      <c r="AA75" s="779">
        <v>0</v>
      </c>
      <c r="AB75" s="779">
        <v>0</v>
      </c>
      <c r="AC75" s="779">
        <v>0</v>
      </c>
    </row>
    <row r="76" spans="2:29" outlineLevel="1">
      <c r="B76" s="730" t="s">
        <v>416</v>
      </c>
      <c r="C76" s="739"/>
      <c r="D76" s="739"/>
      <c r="E76" s="739"/>
      <c r="F76" s="739"/>
      <c r="G76" s="739"/>
      <c r="H76" s="739"/>
      <c r="I76" s="739"/>
      <c r="J76" s="742"/>
      <c r="K76" s="739"/>
      <c r="L76" s="750"/>
      <c r="M76" s="750"/>
      <c r="N76" s="742"/>
      <c r="O76" s="739"/>
      <c r="P76" s="739"/>
      <c r="Q76" s="739"/>
      <c r="R76" s="739"/>
      <c r="S76" s="751"/>
      <c r="T76" s="779">
        <v>0</v>
      </c>
      <c r="U76" s="779">
        <v>0</v>
      </c>
      <c r="V76" s="779">
        <v>0</v>
      </c>
      <c r="W76" s="779">
        <v>0</v>
      </c>
      <c r="X76" s="779">
        <v>0</v>
      </c>
      <c r="Y76" s="779">
        <v>0</v>
      </c>
      <c r="Z76" s="779">
        <v>0</v>
      </c>
      <c r="AA76" s="779">
        <v>0</v>
      </c>
      <c r="AB76" s="779">
        <v>0</v>
      </c>
      <c r="AC76" s="779">
        <v>0</v>
      </c>
    </row>
    <row r="77" spans="2:29" outlineLevel="1">
      <c r="B77" s="730" t="s">
        <v>417</v>
      </c>
      <c r="C77" s="739"/>
      <c r="D77" s="739"/>
      <c r="E77" s="739"/>
      <c r="F77" s="739"/>
      <c r="G77" s="739"/>
      <c r="H77" s="739"/>
      <c r="I77" s="739"/>
      <c r="J77" s="742"/>
      <c r="K77" s="739"/>
      <c r="L77" s="750"/>
      <c r="M77" s="750"/>
      <c r="N77" s="742"/>
      <c r="O77" s="739"/>
      <c r="P77" s="739"/>
      <c r="Q77" s="739"/>
      <c r="R77" s="739"/>
      <c r="S77" s="751"/>
      <c r="T77" s="779">
        <v>0</v>
      </c>
      <c r="U77" s="779">
        <v>0</v>
      </c>
      <c r="V77" s="779">
        <v>0</v>
      </c>
      <c r="W77" s="779">
        <v>0</v>
      </c>
      <c r="X77" s="779">
        <v>0</v>
      </c>
      <c r="Y77" s="779">
        <v>0</v>
      </c>
      <c r="Z77" s="779">
        <v>0</v>
      </c>
      <c r="AA77" s="779">
        <v>0</v>
      </c>
      <c r="AB77" s="779">
        <v>0</v>
      </c>
      <c r="AC77" s="779">
        <v>0</v>
      </c>
    </row>
    <row r="78" spans="2:29" outlineLevel="1">
      <c r="B78" s="730" t="s">
        <v>418</v>
      </c>
      <c r="C78" s="739"/>
      <c r="D78" s="739"/>
      <c r="E78" s="739"/>
      <c r="F78" s="739"/>
      <c r="G78" s="739"/>
      <c r="H78" s="739"/>
      <c r="I78" s="739"/>
      <c r="J78" s="742"/>
      <c r="K78" s="739"/>
      <c r="L78" s="750"/>
      <c r="M78" s="750"/>
      <c r="N78" s="742"/>
      <c r="O78" s="739"/>
      <c r="P78" s="739"/>
      <c r="Q78" s="739"/>
      <c r="R78" s="739"/>
      <c r="S78" s="751"/>
      <c r="T78" s="779">
        <v>0</v>
      </c>
      <c r="U78" s="779">
        <v>0</v>
      </c>
      <c r="V78" s="779">
        <v>0</v>
      </c>
      <c r="W78" s="779">
        <v>0</v>
      </c>
      <c r="X78" s="779">
        <v>0</v>
      </c>
      <c r="Y78" s="779">
        <v>0</v>
      </c>
      <c r="Z78" s="779">
        <v>0</v>
      </c>
      <c r="AA78" s="779">
        <v>0</v>
      </c>
      <c r="AB78" s="779">
        <v>0</v>
      </c>
      <c r="AC78" s="779">
        <v>0</v>
      </c>
    </row>
    <row r="79" spans="2:29" outlineLevel="1">
      <c r="B79" s="730" t="s">
        <v>419</v>
      </c>
      <c r="C79" s="739"/>
      <c r="D79" s="739"/>
      <c r="E79" s="739"/>
      <c r="F79" s="739"/>
      <c r="G79" s="739"/>
      <c r="H79" s="739"/>
      <c r="I79" s="739"/>
      <c r="J79" s="742"/>
      <c r="K79" s="739"/>
      <c r="L79" s="750"/>
      <c r="M79" s="750"/>
      <c r="N79" s="742"/>
      <c r="O79" s="739"/>
      <c r="P79" s="739"/>
      <c r="Q79" s="739"/>
      <c r="R79" s="739"/>
      <c r="S79" s="751"/>
      <c r="T79" s="779">
        <v>0</v>
      </c>
      <c r="U79" s="779">
        <v>0</v>
      </c>
      <c r="V79" s="779">
        <v>0</v>
      </c>
      <c r="W79" s="779">
        <v>0</v>
      </c>
      <c r="X79" s="779">
        <v>0</v>
      </c>
      <c r="Y79" s="779">
        <v>0</v>
      </c>
      <c r="Z79" s="779">
        <v>0</v>
      </c>
      <c r="AA79" s="779">
        <v>0</v>
      </c>
      <c r="AB79" s="779">
        <v>0</v>
      </c>
      <c r="AC79" s="779">
        <v>0</v>
      </c>
    </row>
    <row r="80" spans="2:29" outlineLevel="1">
      <c r="B80" s="730" t="s">
        <v>420</v>
      </c>
      <c r="C80" s="739"/>
      <c r="D80" s="739"/>
      <c r="E80" s="739"/>
      <c r="F80" s="739"/>
      <c r="G80" s="739"/>
      <c r="H80" s="739"/>
      <c r="I80" s="739"/>
      <c r="J80" s="742"/>
      <c r="K80" s="739"/>
      <c r="L80" s="750"/>
      <c r="M80" s="750"/>
      <c r="N80" s="742"/>
      <c r="O80" s="739"/>
      <c r="P80" s="739"/>
      <c r="Q80" s="739"/>
      <c r="R80" s="739"/>
      <c r="S80" s="751"/>
      <c r="T80" s="779">
        <v>0</v>
      </c>
      <c r="U80" s="779">
        <v>0</v>
      </c>
      <c r="V80" s="779">
        <v>0</v>
      </c>
      <c r="W80" s="779">
        <v>0</v>
      </c>
      <c r="X80" s="779">
        <v>0</v>
      </c>
      <c r="Y80" s="779">
        <v>0</v>
      </c>
      <c r="Z80" s="779">
        <v>0</v>
      </c>
      <c r="AA80" s="779">
        <v>0</v>
      </c>
      <c r="AB80" s="779">
        <v>0</v>
      </c>
      <c r="AC80" s="779">
        <v>0</v>
      </c>
    </row>
    <row r="81" spans="2:29" outlineLevel="1">
      <c r="B81" s="730" t="s">
        <v>675</v>
      </c>
      <c r="C81" s="739"/>
      <c r="D81" s="739"/>
      <c r="E81" s="739"/>
      <c r="F81" s="739"/>
      <c r="G81" s="739"/>
      <c r="H81" s="739"/>
      <c r="I81" s="739"/>
      <c r="J81" s="742"/>
      <c r="K81" s="739"/>
      <c r="L81" s="739"/>
      <c r="M81" s="739"/>
      <c r="N81" s="739"/>
      <c r="O81" s="739"/>
      <c r="P81" s="739"/>
      <c r="Q81" s="739"/>
      <c r="R81" s="739"/>
      <c r="S81" s="751"/>
      <c r="T81" s="779">
        <v>0</v>
      </c>
      <c r="U81" s="779">
        <v>0</v>
      </c>
      <c r="V81" s="779">
        <v>0</v>
      </c>
      <c r="W81" s="779">
        <v>0</v>
      </c>
      <c r="X81" s="779">
        <v>0</v>
      </c>
      <c r="Y81" s="779">
        <v>0</v>
      </c>
      <c r="Z81" s="779">
        <v>0</v>
      </c>
      <c r="AA81" s="779">
        <v>0</v>
      </c>
      <c r="AB81" s="779">
        <v>0</v>
      </c>
      <c r="AC81" s="779">
        <v>0</v>
      </c>
    </row>
    <row r="82" spans="2:29">
      <c r="F82" s="117"/>
      <c r="G82" s="117"/>
      <c r="H82" s="117"/>
      <c r="S82" s="269" t="s">
        <v>676</v>
      </c>
      <c r="T82" s="780">
        <f>SUM(T27:T61)+SUM(T66:T81)</f>
        <v>4168.8999999999996</v>
      </c>
      <c r="U82" s="780">
        <f t="shared" ref="U82:AC82" si="2">SUM(U27:U61)+SUM(U66:U81)</f>
        <v>3589.8134645305295</v>
      </c>
      <c r="V82" s="780">
        <f t="shared" si="2"/>
        <v>3697.9111557602205</v>
      </c>
      <c r="W82" s="780">
        <f t="shared" si="2"/>
        <v>3667.4021350060311</v>
      </c>
      <c r="X82" s="780">
        <f t="shared" si="2"/>
        <v>3713.8105047634995</v>
      </c>
      <c r="Y82" s="780">
        <f t="shared" si="2"/>
        <v>3791.3758199064041</v>
      </c>
      <c r="Z82" s="780">
        <f t="shared" si="2"/>
        <v>3838.6040945035966</v>
      </c>
      <c r="AA82" s="780">
        <f t="shared" si="2"/>
        <v>3795.4662173387046</v>
      </c>
      <c r="AB82" s="780">
        <f t="shared" si="2"/>
        <v>3810.9352038588663</v>
      </c>
      <c r="AC82" s="780">
        <f t="shared" si="2"/>
        <v>3614.086259974631</v>
      </c>
    </row>
    <row r="83" spans="2:29">
      <c r="F83" s="117"/>
      <c r="G83" s="117"/>
      <c r="H83" s="117"/>
      <c r="T83" s="781"/>
      <c r="U83" s="781"/>
      <c r="V83" s="781"/>
      <c r="W83" s="781"/>
      <c r="X83" s="781"/>
      <c r="Y83" s="781"/>
      <c r="Z83" s="781"/>
      <c r="AA83" s="781"/>
      <c r="AB83" s="782"/>
      <c r="AC83" s="781"/>
    </row>
    <row r="84" spans="2:29">
      <c r="B84" s="201" t="s">
        <v>421</v>
      </c>
      <c r="C84" s="201"/>
      <c r="D84" s="98" t="s">
        <v>677</v>
      </c>
      <c r="E84" s="98"/>
      <c r="F84" s="98"/>
      <c r="G84" s="98"/>
      <c r="H84" s="98"/>
      <c r="I84" s="98"/>
      <c r="J84" s="98"/>
      <c r="K84" s="98"/>
      <c r="L84" s="98"/>
      <c r="M84" s="98"/>
      <c r="N84" s="98"/>
      <c r="O84" s="98"/>
      <c r="P84" s="98"/>
      <c r="T84" s="786"/>
      <c r="U84" s="786"/>
      <c r="V84" s="786"/>
      <c r="W84" s="786"/>
      <c r="X84" s="786"/>
      <c r="Y84" s="786"/>
      <c r="Z84" s="786"/>
      <c r="AA84" s="786"/>
      <c r="AB84" s="787"/>
      <c r="AC84" s="786"/>
    </row>
    <row r="85" spans="2:29" s="248" customFormat="1" ht="54.75" customHeight="1" outlineLevel="1">
      <c r="B85" s="697"/>
      <c r="C85" s="723" t="s">
        <v>678</v>
      </c>
      <c r="D85" s="536" t="s">
        <v>469</v>
      </c>
      <c r="E85" s="536" t="s">
        <v>470</v>
      </c>
      <c r="F85" s="536" t="s">
        <v>445</v>
      </c>
      <c r="G85" s="536" t="s">
        <v>669</v>
      </c>
      <c r="H85" s="723" t="s">
        <v>655</v>
      </c>
      <c r="I85" s="723" t="s">
        <v>128</v>
      </c>
      <c r="J85" s="723" t="s">
        <v>656</v>
      </c>
      <c r="K85" s="723" t="s">
        <v>657</v>
      </c>
      <c r="L85" s="723" t="s">
        <v>679</v>
      </c>
      <c r="M85" s="723" t="s">
        <v>659</v>
      </c>
      <c r="N85" s="723" t="s">
        <v>660</v>
      </c>
      <c r="O85" s="723" t="s">
        <v>661</v>
      </c>
      <c r="P85" s="723" t="s">
        <v>149</v>
      </c>
      <c r="Q85" s="723" t="s">
        <v>662</v>
      </c>
      <c r="R85" s="723" t="s">
        <v>152</v>
      </c>
      <c r="S85" s="723" t="s">
        <v>672</v>
      </c>
      <c r="T85" s="783"/>
      <c r="U85" s="783"/>
      <c r="V85" s="783"/>
      <c r="W85" s="783"/>
      <c r="X85" s="783"/>
      <c r="Y85" s="783"/>
      <c r="Z85" s="783"/>
      <c r="AA85" s="783"/>
      <c r="AB85" s="784"/>
      <c r="AC85" s="783"/>
    </row>
    <row r="86" spans="2:29" ht="27" outlineLevel="1">
      <c r="B86" s="729" t="s">
        <v>397</v>
      </c>
      <c r="C86" s="729"/>
      <c r="D86" s="728" t="s">
        <v>472</v>
      </c>
      <c r="E86" s="728" t="s">
        <v>472</v>
      </c>
      <c r="F86" s="736"/>
      <c r="G86" s="728"/>
      <c r="H86" s="728"/>
      <c r="I86" s="737"/>
      <c r="J86" s="728" t="s">
        <v>673</v>
      </c>
      <c r="K86" s="738" t="s">
        <v>674</v>
      </c>
      <c r="L86" s="738" t="s">
        <v>398</v>
      </c>
      <c r="M86" s="738" t="s">
        <v>398</v>
      </c>
      <c r="N86" s="738" t="s">
        <v>194</v>
      </c>
      <c r="O86" s="738" t="s">
        <v>666</v>
      </c>
      <c r="P86" s="738"/>
      <c r="Q86" s="738"/>
      <c r="R86" s="738"/>
      <c r="S86" s="738" t="s">
        <v>398</v>
      </c>
      <c r="T86" s="785" t="s">
        <v>398</v>
      </c>
      <c r="U86" s="785" t="s">
        <v>398</v>
      </c>
      <c r="V86" s="785" t="s">
        <v>398</v>
      </c>
      <c r="W86" s="785" t="s">
        <v>398</v>
      </c>
      <c r="X86" s="785" t="s">
        <v>398</v>
      </c>
      <c r="Y86" s="785" t="s">
        <v>398</v>
      </c>
      <c r="Z86" s="785" t="s">
        <v>398</v>
      </c>
      <c r="AA86" s="785" t="s">
        <v>398</v>
      </c>
      <c r="AB86" s="785" t="s">
        <v>398</v>
      </c>
      <c r="AC86" s="785" t="s">
        <v>398</v>
      </c>
    </row>
    <row r="87" spans="2:29" outlineLevel="1">
      <c r="B87" s="730" t="s">
        <v>423</v>
      </c>
      <c r="C87" s="739"/>
      <c r="D87" s="739"/>
      <c r="E87" s="739"/>
      <c r="F87" s="740"/>
      <c r="G87" s="740"/>
      <c r="H87" s="740"/>
      <c r="I87" s="740"/>
      <c r="J87" s="744"/>
      <c r="K87" s="740"/>
      <c r="L87" s="740"/>
      <c r="M87" s="752"/>
      <c r="N87" s="744"/>
      <c r="O87" s="740"/>
      <c r="P87" s="740"/>
      <c r="Q87" s="740"/>
      <c r="R87" s="740"/>
      <c r="S87" s="740"/>
      <c r="T87" s="779">
        <v>0</v>
      </c>
      <c r="U87" s="779">
        <v>0</v>
      </c>
      <c r="V87" s="779">
        <v>0</v>
      </c>
      <c r="W87" s="779">
        <v>0</v>
      </c>
      <c r="X87" s="779">
        <v>0</v>
      </c>
      <c r="Y87" s="779">
        <v>0</v>
      </c>
      <c r="Z87" s="779">
        <v>0</v>
      </c>
      <c r="AA87" s="779">
        <v>0</v>
      </c>
      <c r="AB87" s="779">
        <v>0</v>
      </c>
      <c r="AC87" s="779">
        <v>0</v>
      </c>
    </row>
    <row r="88" spans="2:29" outlineLevel="1">
      <c r="B88" s="753" t="s">
        <v>424</v>
      </c>
      <c r="C88" s="739"/>
      <c r="D88" s="739"/>
      <c r="E88" s="739"/>
      <c r="F88" s="740"/>
      <c r="G88" s="754"/>
      <c r="H88" s="754"/>
      <c r="I88" s="754"/>
      <c r="J88" s="745"/>
      <c r="K88" s="755"/>
      <c r="L88" s="746"/>
      <c r="M88" s="746"/>
      <c r="N88" s="745"/>
      <c r="O88" s="745"/>
      <c r="P88" s="748"/>
      <c r="Q88" s="747"/>
      <c r="R88" s="756"/>
      <c r="S88" s="757"/>
      <c r="T88" s="779">
        <v>0</v>
      </c>
      <c r="U88" s="779">
        <v>0</v>
      </c>
      <c r="V88" s="779">
        <v>0</v>
      </c>
      <c r="W88" s="779">
        <v>0</v>
      </c>
      <c r="X88" s="779">
        <v>0</v>
      </c>
      <c r="Y88" s="779">
        <v>0</v>
      </c>
      <c r="Z88" s="779">
        <v>0</v>
      </c>
      <c r="AA88" s="779">
        <v>0</v>
      </c>
      <c r="AB88" s="779">
        <v>0</v>
      </c>
      <c r="AC88" s="779">
        <v>0</v>
      </c>
    </row>
    <row r="89" spans="2:29" outlineLevel="1">
      <c r="B89" s="730" t="s">
        <v>425</v>
      </c>
      <c r="C89" s="739"/>
      <c r="D89" s="739"/>
      <c r="E89" s="739"/>
      <c r="F89" s="740"/>
      <c r="G89" s="754"/>
      <c r="H89" s="754"/>
      <c r="I89" s="754"/>
      <c r="J89" s="745"/>
      <c r="K89" s="755"/>
      <c r="L89" s="746"/>
      <c r="M89" s="746"/>
      <c r="N89" s="745"/>
      <c r="O89" s="745"/>
      <c r="P89" s="748"/>
      <c r="Q89" s="747"/>
      <c r="R89" s="756"/>
      <c r="S89" s="757"/>
      <c r="T89" s="779">
        <v>0</v>
      </c>
      <c r="U89" s="779">
        <v>0</v>
      </c>
      <c r="V89" s="779">
        <v>0</v>
      </c>
      <c r="W89" s="779">
        <v>0</v>
      </c>
      <c r="X89" s="779">
        <v>0</v>
      </c>
      <c r="Y89" s="779">
        <v>0</v>
      </c>
      <c r="Z89" s="779">
        <v>0</v>
      </c>
      <c r="AA89" s="779">
        <v>0</v>
      </c>
      <c r="AB89" s="779">
        <v>0</v>
      </c>
      <c r="AC89" s="779">
        <v>0</v>
      </c>
    </row>
    <row r="90" spans="2:29" outlineLevel="1">
      <c r="B90" s="753" t="s">
        <v>426</v>
      </c>
      <c r="C90" s="739"/>
      <c r="D90" s="739"/>
      <c r="E90" s="739"/>
      <c r="F90" s="740"/>
      <c r="G90" s="754"/>
      <c r="H90" s="754"/>
      <c r="I90" s="754"/>
      <c r="J90" s="745"/>
      <c r="K90" s="755"/>
      <c r="L90" s="746"/>
      <c r="M90" s="746"/>
      <c r="N90" s="745"/>
      <c r="O90" s="745"/>
      <c r="P90" s="748"/>
      <c r="Q90" s="747"/>
      <c r="R90" s="756"/>
      <c r="S90" s="757"/>
      <c r="T90" s="779">
        <v>0</v>
      </c>
      <c r="U90" s="779">
        <v>0</v>
      </c>
      <c r="V90" s="779">
        <v>0</v>
      </c>
      <c r="W90" s="779">
        <v>0</v>
      </c>
      <c r="X90" s="779">
        <v>0</v>
      </c>
      <c r="Y90" s="779">
        <v>0</v>
      </c>
      <c r="Z90" s="779">
        <v>0</v>
      </c>
      <c r="AA90" s="779">
        <v>0</v>
      </c>
      <c r="AB90" s="779">
        <v>0</v>
      </c>
      <c r="AC90" s="779">
        <v>0</v>
      </c>
    </row>
    <row r="91" spans="2:29" outlineLevel="1">
      <c r="B91" s="730" t="s">
        <v>427</v>
      </c>
      <c r="C91" s="739"/>
      <c r="D91" s="739"/>
      <c r="E91" s="739"/>
      <c r="F91" s="740"/>
      <c r="G91" s="754"/>
      <c r="H91" s="754"/>
      <c r="I91" s="754"/>
      <c r="J91" s="745"/>
      <c r="K91" s="755"/>
      <c r="L91" s="746"/>
      <c r="M91" s="746"/>
      <c r="N91" s="745"/>
      <c r="O91" s="745"/>
      <c r="P91" s="748"/>
      <c r="Q91" s="747"/>
      <c r="R91" s="756"/>
      <c r="S91" s="757"/>
      <c r="T91" s="779">
        <v>0</v>
      </c>
      <c r="U91" s="779">
        <v>0</v>
      </c>
      <c r="V91" s="779">
        <v>0</v>
      </c>
      <c r="W91" s="779">
        <v>0</v>
      </c>
      <c r="X91" s="779">
        <v>0</v>
      </c>
      <c r="Y91" s="779">
        <v>0</v>
      </c>
      <c r="Z91" s="779">
        <v>0</v>
      </c>
      <c r="AA91" s="779">
        <v>0</v>
      </c>
      <c r="AB91" s="779">
        <v>0</v>
      </c>
      <c r="AC91" s="779">
        <v>0</v>
      </c>
    </row>
    <row r="92" spans="2:29" outlineLevel="1">
      <c r="B92" s="753" t="s">
        <v>428</v>
      </c>
      <c r="C92" s="739"/>
      <c r="D92" s="739"/>
      <c r="E92" s="739"/>
      <c r="F92" s="740"/>
      <c r="G92" s="754"/>
      <c r="H92" s="754"/>
      <c r="I92" s="754"/>
      <c r="J92" s="745"/>
      <c r="K92" s="755"/>
      <c r="L92" s="746"/>
      <c r="M92" s="746"/>
      <c r="N92" s="745"/>
      <c r="O92" s="745"/>
      <c r="P92" s="748"/>
      <c r="Q92" s="747"/>
      <c r="R92" s="756"/>
      <c r="S92" s="757"/>
      <c r="T92" s="779">
        <v>0</v>
      </c>
      <c r="U92" s="779">
        <v>0</v>
      </c>
      <c r="V92" s="779">
        <v>0</v>
      </c>
      <c r="W92" s="779">
        <v>0</v>
      </c>
      <c r="X92" s="779">
        <v>0</v>
      </c>
      <c r="Y92" s="779">
        <v>0</v>
      </c>
      <c r="Z92" s="779">
        <v>0</v>
      </c>
      <c r="AA92" s="779">
        <v>0</v>
      </c>
      <c r="AB92" s="779">
        <v>0</v>
      </c>
      <c r="AC92" s="779">
        <v>0</v>
      </c>
    </row>
    <row r="93" spans="2:29" outlineLevel="1">
      <c r="B93" s="730" t="s">
        <v>429</v>
      </c>
      <c r="C93" s="739"/>
      <c r="D93" s="739"/>
      <c r="E93" s="739"/>
      <c r="F93" s="740"/>
      <c r="G93" s="754"/>
      <c r="H93" s="754"/>
      <c r="I93" s="754"/>
      <c r="J93" s="745"/>
      <c r="K93" s="755"/>
      <c r="L93" s="746"/>
      <c r="M93" s="746"/>
      <c r="N93" s="745"/>
      <c r="O93" s="745"/>
      <c r="P93" s="748"/>
      <c r="Q93" s="747"/>
      <c r="R93" s="756"/>
      <c r="S93" s="757"/>
      <c r="T93" s="779">
        <v>0</v>
      </c>
      <c r="U93" s="779">
        <v>0</v>
      </c>
      <c r="V93" s="779">
        <v>0</v>
      </c>
      <c r="W93" s="779">
        <v>0</v>
      </c>
      <c r="X93" s="779">
        <v>0</v>
      </c>
      <c r="Y93" s="779">
        <v>0</v>
      </c>
      <c r="Z93" s="779">
        <v>0</v>
      </c>
      <c r="AA93" s="779">
        <v>0</v>
      </c>
      <c r="AB93" s="779">
        <v>0</v>
      </c>
      <c r="AC93" s="779">
        <v>0</v>
      </c>
    </row>
    <row r="94" spans="2:29" outlineLevel="1">
      <c r="B94" s="753" t="s">
        <v>430</v>
      </c>
      <c r="C94" s="739"/>
      <c r="D94" s="739"/>
      <c r="E94" s="739"/>
      <c r="F94" s="740"/>
      <c r="G94" s="754"/>
      <c r="H94" s="754"/>
      <c r="I94" s="754"/>
      <c r="J94" s="745"/>
      <c r="K94" s="755"/>
      <c r="L94" s="746"/>
      <c r="M94" s="746"/>
      <c r="N94" s="745"/>
      <c r="O94" s="745"/>
      <c r="P94" s="748"/>
      <c r="Q94" s="747"/>
      <c r="R94" s="756"/>
      <c r="S94" s="757"/>
      <c r="T94" s="779">
        <v>0</v>
      </c>
      <c r="U94" s="779">
        <v>0</v>
      </c>
      <c r="V94" s="779">
        <v>0</v>
      </c>
      <c r="W94" s="779">
        <v>0</v>
      </c>
      <c r="X94" s="779">
        <v>0</v>
      </c>
      <c r="Y94" s="779">
        <v>0</v>
      </c>
      <c r="Z94" s="779">
        <v>0</v>
      </c>
      <c r="AA94" s="779">
        <v>0</v>
      </c>
      <c r="AB94" s="779">
        <v>0</v>
      </c>
      <c r="AC94" s="779">
        <v>0</v>
      </c>
    </row>
    <row r="95" spans="2:29" outlineLevel="1">
      <c r="B95" s="730" t="s">
        <v>431</v>
      </c>
      <c r="C95" s="739"/>
      <c r="D95" s="739"/>
      <c r="E95" s="739"/>
      <c r="F95" s="740"/>
      <c r="G95" s="754"/>
      <c r="H95" s="754"/>
      <c r="I95" s="754"/>
      <c r="J95" s="745"/>
      <c r="K95" s="755"/>
      <c r="L95" s="746"/>
      <c r="M95" s="746"/>
      <c r="N95" s="745"/>
      <c r="O95" s="745"/>
      <c r="P95" s="748"/>
      <c r="Q95" s="747"/>
      <c r="R95" s="748"/>
      <c r="S95" s="757"/>
      <c r="T95" s="779">
        <v>0</v>
      </c>
      <c r="U95" s="779">
        <v>0</v>
      </c>
      <c r="V95" s="779">
        <v>0</v>
      </c>
      <c r="W95" s="779">
        <v>0</v>
      </c>
      <c r="X95" s="779">
        <v>0</v>
      </c>
      <c r="Y95" s="779">
        <v>0</v>
      </c>
      <c r="Z95" s="779">
        <v>0</v>
      </c>
      <c r="AA95" s="779">
        <v>0</v>
      </c>
      <c r="AB95" s="779">
        <v>0</v>
      </c>
      <c r="AC95" s="779">
        <v>0</v>
      </c>
    </row>
    <row r="96" spans="2:29" outlineLevel="1">
      <c r="B96" s="730" t="s">
        <v>680</v>
      </c>
      <c r="C96" s="1085" t="s">
        <v>479</v>
      </c>
      <c r="D96" s="1085"/>
      <c r="E96" s="1085"/>
      <c r="F96" s="1085"/>
      <c r="G96" s="1085"/>
      <c r="H96" s="1085"/>
      <c r="I96" s="1085"/>
      <c r="J96" s="1085"/>
      <c r="K96" s="1085"/>
      <c r="L96" s="1085"/>
      <c r="M96" s="1085"/>
      <c r="N96" s="1085"/>
      <c r="O96" s="1085"/>
      <c r="P96" s="1085"/>
      <c r="Q96" s="1085"/>
      <c r="R96" s="1085"/>
      <c r="S96" s="1085"/>
      <c r="T96" s="779">
        <v>0</v>
      </c>
      <c r="U96" s="779">
        <v>0</v>
      </c>
      <c r="V96" s="779">
        <v>0</v>
      </c>
      <c r="W96" s="779">
        <v>0</v>
      </c>
      <c r="X96" s="779">
        <v>0</v>
      </c>
      <c r="Y96" s="779">
        <v>0</v>
      </c>
      <c r="Z96" s="779">
        <v>0</v>
      </c>
      <c r="AA96" s="779">
        <v>0</v>
      </c>
      <c r="AB96" s="779">
        <v>0</v>
      </c>
      <c r="AC96" s="779">
        <v>0</v>
      </c>
    </row>
    <row r="97" spans="2:29">
      <c r="F97" s="117"/>
      <c r="G97" s="117"/>
      <c r="H97" s="117"/>
      <c r="S97" s="269" t="s">
        <v>681</v>
      </c>
      <c r="T97" s="780">
        <f>SUM(T87:T96)</f>
        <v>0</v>
      </c>
      <c r="U97" s="780">
        <f t="shared" ref="U97:AC97" si="3">SUM(U87:U96)</f>
        <v>0</v>
      </c>
      <c r="V97" s="780">
        <f t="shared" si="3"/>
        <v>0</v>
      </c>
      <c r="W97" s="780">
        <f t="shared" si="3"/>
        <v>0</v>
      </c>
      <c r="X97" s="780">
        <f t="shared" si="3"/>
        <v>0</v>
      </c>
      <c r="Y97" s="780">
        <f t="shared" si="3"/>
        <v>0</v>
      </c>
      <c r="Z97" s="780">
        <f t="shared" si="3"/>
        <v>0</v>
      </c>
      <c r="AA97" s="780">
        <f t="shared" si="3"/>
        <v>0</v>
      </c>
      <c r="AB97" s="780">
        <f t="shared" si="3"/>
        <v>0</v>
      </c>
      <c r="AC97" s="780">
        <f t="shared" si="3"/>
        <v>0</v>
      </c>
    </row>
    <row r="98" spans="2:29">
      <c r="F98" s="117"/>
      <c r="G98" s="117"/>
      <c r="H98" s="117"/>
      <c r="T98" s="781"/>
      <c r="U98" s="781"/>
      <c r="V98" s="781"/>
      <c r="W98" s="781"/>
      <c r="X98" s="781"/>
      <c r="Y98" s="781"/>
      <c r="Z98" s="781"/>
      <c r="AA98" s="781"/>
      <c r="AB98" s="782"/>
      <c r="AC98" s="781"/>
    </row>
    <row r="99" spans="2:29">
      <c r="B99" s="201" t="s">
        <v>432</v>
      </c>
      <c r="C99" s="201"/>
      <c r="D99" s="98" t="s">
        <v>682</v>
      </c>
      <c r="E99" s="98"/>
      <c r="F99" s="98"/>
      <c r="G99" s="98"/>
      <c r="H99" s="98"/>
      <c r="I99" s="98"/>
      <c r="J99" s="98"/>
      <c r="K99" s="98"/>
      <c r="L99" s="98"/>
      <c r="M99" s="98"/>
      <c r="N99" s="98"/>
      <c r="O99" s="98"/>
      <c r="P99" s="98"/>
      <c r="Q99" s="98"/>
      <c r="T99" s="786"/>
      <c r="U99" s="786"/>
      <c r="V99" s="786"/>
      <c r="W99" s="786"/>
      <c r="X99" s="786"/>
      <c r="Y99" s="786"/>
      <c r="Z99" s="786"/>
      <c r="AA99" s="786"/>
      <c r="AB99" s="787"/>
      <c r="AC99" s="786"/>
    </row>
    <row r="100" spans="2:29" ht="56.25" customHeight="1" outlineLevel="1">
      <c r="B100" s="729"/>
      <c r="C100" s="723" t="s">
        <v>678</v>
      </c>
      <c r="D100" s="536" t="s">
        <v>469</v>
      </c>
      <c r="E100" s="536" t="s">
        <v>470</v>
      </c>
      <c r="F100" s="536" t="s">
        <v>445</v>
      </c>
      <c r="G100" s="536" t="s">
        <v>669</v>
      </c>
      <c r="H100" s="723" t="s">
        <v>655</v>
      </c>
      <c r="I100" s="723" t="s">
        <v>128</v>
      </c>
      <c r="J100" s="723" t="s">
        <v>656</v>
      </c>
      <c r="K100" s="723" t="s">
        <v>657</v>
      </c>
      <c r="L100" s="723" t="s">
        <v>679</v>
      </c>
      <c r="M100" s="723" t="s">
        <v>659</v>
      </c>
      <c r="N100" s="98"/>
      <c r="O100" s="98"/>
      <c r="P100" s="98"/>
      <c r="Q100" s="98"/>
      <c r="T100" s="781"/>
      <c r="U100" s="781"/>
      <c r="V100" s="781"/>
      <c r="W100" s="781"/>
      <c r="X100" s="788"/>
      <c r="Y100" s="781"/>
      <c r="Z100" s="781"/>
      <c r="AA100" s="781"/>
      <c r="AB100" s="782"/>
      <c r="AC100" s="781"/>
    </row>
    <row r="101" spans="2:29" ht="27" outlineLevel="1">
      <c r="B101" s="729" t="s">
        <v>397</v>
      </c>
      <c r="C101" s="729"/>
      <c r="D101" s="728" t="s">
        <v>472</v>
      </c>
      <c r="E101" s="728" t="s">
        <v>472</v>
      </c>
      <c r="F101" s="728"/>
      <c r="G101" s="728"/>
      <c r="H101" s="728"/>
      <c r="I101" s="738"/>
      <c r="J101" s="728" t="s">
        <v>673</v>
      </c>
      <c r="K101" s="738" t="s">
        <v>674</v>
      </c>
      <c r="L101" s="738" t="s">
        <v>398</v>
      </c>
      <c r="M101" s="738" t="s">
        <v>398</v>
      </c>
      <c r="N101" s="98"/>
      <c r="O101" s="98"/>
      <c r="P101" s="98"/>
      <c r="Q101" s="98"/>
      <c r="T101" s="785" t="s">
        <v>398</v>
      </c>
      <c r="U101" s="785" t="s">
        <v>398</v>
      </c>
      <c r="V101" s="785" t="s">
        <v>398</v>
      </c>
      <c r="W101" s="785" t="s">
        <v>398</v>
      </c>
      <c r="X101" s="785" t="s">
        <v>398</v>
      </c>
      <c r="Y101" s="785" t="s">
        <v>398</v>
      </c>
      <c r="Z101" s="785" t="s">
        <v>398</v>
      </c>
      <c r="AA101" s="785" t="s">
        <v>398</v>
      </c>
      <c r="AB101" s="785" t="s">
        <v>398</v>
      </c>
      <c r="AC101" s="785" t="s">
        <v>398</v>
      </c>
    </row>
    <row r="102" spans="2:29" outlineLevel="1">
      <c r="B102" s="730" t="s">
        <v>434</v>
      </c>
      <c r="C102" s="739"/>
      <c r="D102" s="739" t="s">
        <v>1216</v>
      </c>
      <c r="E102" s="739"/>
      <c r="F102" s="739"/>
      <c r="G102" s="739"/>
      <c r="H102" s="739"/>
      <c r="I102" s="739" t="s">
        <v>1063</v>
      </c>
      <c r="J102" s="742">
        <v>2.5000000000000001E-3</v>
      </c>
      <c r="K102" s="739"/>
      <c r="L102" s="739"/>
      <c r="M102" s="751"/>
      <c r="N102" s="98"/>
      <c r="O102" s="98"/>
      <c r="P102" s="98"/>
      <c r="Q102" s="98"/>
      <c r="T102" s="779">
        <v>-428</v>
      </c>
      <c r="U102" s="779">
        <v>0</v>
      </c>
      <c r="V102" s="779">
        <v>0</v>
      </c>
      <c r="W102" s="779">
        <v>0</v>
      </c>
      <c r="X102" s="779">
        <v>0</v>
      </c>
      <c r="Y102" s="779">
        <v>0</v>
      </c>
      <c r="Z102" s="779">
        <v>0</v>
      </c>
      <c r="AA102" s="779">
        <v>0</v>
      </c>
      <c r="AB102" s="779">
        <v>0</v>
      </c>
      <c r="AC102" s="779">
        <v>0</v>
      </c>
    </row>
    <row r="103" spans="2:29" outlineLevel="1">
      <c r="B103" s="753" t="s">
        <v>435</v>
      </c>
      <c r="C103" s="739"/>
      <c r="D103" s="739"/>
      <c r="E103" s="739"/>
      <c r="F103" s="739"/>
      <c r="G103" s="739"/>
      <c r="H103" s="739"/>
      <c r="I103" s="739"/>
      <c r="J103" s="742"/>
      <c r="K103" s="739"/>
      <c r="L103" s="739"/>
      <c r="M103" s="751"/>
      <c r="N103" s="98"/>
      <c r="O103" s="98"/>
      <c r="P103" s="98"/>
      <c r="Q103" s="98"/>
      <c r="T103" s="779">
        <v>0</v>
      </c>
      <c r="U103" s="779">
        <v>0</v>
      </c>
      <c r="V103" s="779">
        <v>0</v>
      </c>
      <c r="W103" s="779">
        <v>0</v>
      </c>
      <c r="X103" s="779">
        <v>0</v>
      </c>
      <c r="Y103" s="779">
        <v>0</v>
      </c>
      <c r="Z103" s="779">
        <v>0</v>
      </c>
      <c r="AA103" s="779">
        <v>0</v>
      </c>
      <c r="AB103" s="779">
        <v>0</v>
      </c>
      <c r="AC103" s="779">
        <v>0</v>
      </c>
    </row>
    <row r="104" spans="2:29" outlineLevel="1">
      <c r="B104" s="730" t="s">
        <v>436</v>
      </c>
      <c r="C104" s="739"/>
      <c r="D104" s="739"/>
      <c r="E104" s="739"/>
      <c r="F104" s="739"/>
      <c r="G104" s="739"/>
      <c r="H104" s="739"/>
      <c r="I104" s="739"/>
      <c r="J104" s="742"/>
      <c r="K104" s="739"/>
      <c r="L104" s="739"/>
      <c r="M104" s="751"/>
      <c r="N104" s="98"/>
      <c r="O104" s="98"/>
      <c r="P104" s="98"/>
      <c r="Q104" s="98"/>
      <c r="T104" s="779">
        <v>0</v>
      </c>
      <c r="U104" s="779">
        <v>0</v>
      </c>
      <c r="V104" s="779">
        <v>0</v>
      </c>
      <c r="W104" s="779">
        <v>0</v>
      </c>
      <c r="X104" s="779">
        <v>0</v>
      </c>
      <c r="Y104" s="779">
        <v>0</v>
      </c>
      <c r="Z104" s="779">
        <v>0</v>
      </c>
      <c r="AA104" s="779">
        <v>0</v>
      </c>
      <c r="AB104" s="779">
        <v>0</v>
      </c>
      <c r="AC104" s="779">
        <v>0</v>
      </c>
    </row>
    <row r="105" spans="2:29" outlineLevel="1">
      <c r="B105" s="753" t="s">
        <v>437</v>
      </c>
      <c r="C105" s="739"/>
      <c r="D105" s="739"/>
      <c r="E105" s="739"/>
      <c r="F105" s="740"/>
      <c r="G105" s="754"/>
      <c r="H105" s="754"/>
      <c r="I105" s="754"/>
      <c r="J105" s="745"/>
      <c r="K105" s="755"/>
      <c r="L105" s="746"/>
      <c r="M105" s="746"/>
      <c r="N105" s="98"/>
      <c r="O105" s="98"/>
      <c r="P105" s="98"/>
      <c r="Q105" s="98"/>
      <c r="T105" s="779">
        <v>0</v>
      </c>
      <c r="U105" s="779">
        <v>0</v>
      </c>
      <c r="V105" s="779">
        <v>0</v>
      </c>
      <c r="W105" s="779">
        <v>0</v>
      </c>
      <c r="X105" s="779">
        <v>0</v>
      </c>
      <c r="Y105" s="779">
        <v>0</v>
      </c>
      <c r="Z105" s="779">
        <v>0</v>
      </c>
      <c r="AA105" s="779">
        <v>0</v>
      </c>
      <c r="AB105" s="779">
        <v>0</v>
      </c>
      <c r="AC105" s="779">
        <v>0</v>
      </c>
    </row>
    <row r="106" spans="2:29" outlineLevel="1">
      <c r="B106" s="730" t="s">
        <v>438</v>
      </c>
      <c r="C106" s="739"/>
      <c r="D106" s="739"/>
      <c r="E106" s="739"/>
      <c r="F106" s="740"/>
      <c r="G106" s="754"/>
      <c r="H106" s="754"/>
      <c r="I106" s="754"/>
      <c r="J106" s="745"/>
      <c r="K106" s="755"/>
      <c r="L106" s="746"/>
      <c r="M106" s="746"/>
      <c r="N106" s="98"/>
      <c r="O106" s="98"/>
      <c r="P106" s="98"/>
      <c r="Q106" s="98"/>
      <c r="T106" s="779">
        <v>0</v>
      </c>
      <c r="U106" s="779">
        <v>0</v>
      </c>
      <c r="V106" s="779">
        <v>0</v>
      </c>
      <c r="W106" s="779">
        <v>0</v>
      </c>
      <c r="X106" s="779">
        <v>0</v>
      </c>
      <c r="Y106" s="779">
        <v>0</v>
      </c>
      <c r="Z106" s="779">
        <v>0</v>
      </c>
      <c r="AA106" s="779">
        <v>0</v>
      </c>
      <c r="AB106" s="779">
        <v>0</v>
      </c>
      <c r="AC106" s="779">
        <v>0</v>
      </c>
    </row>
    <row r="107" spans="2:29" outlineLevel="1">
      <c r="B107" s="753" t="s">
        <v>439</v>
      </c>
      <c r="C107" s="739"/>
      <c r="D107" s="739"/>
      <c r="E107" s="739"/>
      <c r="F107" s="740"/>
      <c r="G107" s="754"/>
      <c r="H107" s="754"/>
      <c r="I107" s="754"/>
      <c r="J107" s="745"/>
      <c r="K107" s="755"/>
      <c r="L107" s="746"/>
      <c r="M107" s="746"/>
      <c r="N107" s="98"/>
      <c r="O107" s="98"/>
      <c r="P107" s="98"/>
      <c r="Q107" s="98"/>
      <c r="T107" s="779">
        <v>0</v>
      </c>
      <c r="U107" s="779">
        <v>0</v>
      </c>
      <c r="V107" s="779">
        <v>0</v>
      </c>
      <c r="W107" s="779">
        <v>0</v>
      </c>
      <c r="X107" s="779">
        <v>0</v>
      </c>
      <c r="Y107" s="779">
        <v>0</v>
      </c>
      <c r="Z107" s="779">
        <v>0</v>
      </c>
      <c r="AA107" s="779">
        <v>0</v>
      </c>
      <c r="AB107" s="779">
        <v>0</v>
      </c>
      <c r="AC107" s="779">
        <v>0</v>
      </c>
    </row>
    <row r="108" spans="2:29" outlineLevel="1">
      <c r="B108" s="730" t="s">
        <v>440</v>
      </c>
      <c r="C108" s="739"/>
      <c r="D108" s="739"/>
      <c r="E108" s="739"/>
      <c r="F108" s="740"/>
      <c r="G108" s="754"/>
      <c r="H108" s="754"/>
      <c r="I108" s="754"/>
      <c r="J108" s="745"/>
      <c r="K108" s="755"/>
      <c r="L108" s="746"/>
      <c r="M108" s="746"/>
      <c r="N108" s="98"/>
      <c r="O108" s="98"/>
      <c r="P108" s="98"/>
      <c r="Q108" s="98"/>
      <c r="T108" s="779">
        <v>0</v>
      </c>
      <c r="U108" s="779">
        <v>0</v>
      </c>
      <c r="V108" s="779">
        <v>0</v>
      </c>
      <c r="W108" s="779">
        <v>0</v>
      </c>
      <c r="X108" s="779">
        <v>0</v>
      </c>
      <c r="Y108" s="779">
        <v>0</v>
      </c>
      <c r="Z108" s="779">
        <v>0</v>
      </c>
      <c r="AA108" s="779">
        <v>0</v>
      </c>
      <c r="AB108" s="779">
        <v>0</v>
      </c>
      <c r="AC108" s="779">
        <v>0</v>
      </c>
    </row>
    <row r="109" spans="2:29" outlineLevel="1">
      <c r="B109" s="753" t="s">
        <v>441</v>
      </c>
      <c r="C109" s="739"/>
      <c r="D109" s="739"/>
      <c r="E109" s="739"/>
      <c r="F109" s="740"/>
      <c r="G109" s="754"/>
      <c r="H109" s="754"/>
      <c r="I109" s="754"/>
      <c r="J109" s="745"/>
      <c r="K109" s="755"/>
      <c r="L109" s="746"/>
      <c r="M109" s="746"/>
      <c r="N109" s="98"/>
      <c r="O109" s="98"/>
      <c r="P109" s="98"/>
      <c r="Q109" s="98"/>
      <c r="T109" s="779">
        <v>0</v>
      </c>
      <c r="U109" s="779">
        <v>0</v>
      </c>
      <c r="V109" s="779">
        <v>0</v>
      </c>
      <c r="W109" s="779">
        <v>0</v>
      </c>
      <c r="X109" s="779">
        <v>0</v>
      </c>
      <c r="Y109" s="779">
        <v>0</v>
      </c>
      <c r="Z109" s="779">
        <v>0</v>
      </c>
      <c r="AA109" s="779">
        <v>0</v>
      </c>
      <c r="AB109" s="779">
        <v>0</v>
      </c>
      <c r="AC109" s="779">
        <v>0</v>
      </c>
    </row>
    <row r="110" spans="2:29" outlineLevel="1">
      <c r="B110" s="730" t="s">
        <v>442</v>
      </c>
      <c r="C110" s="739"/>
      <c r="D110" s="739"/>
      <c r="E110" s="739"/>
      <c r="F110" s="740"/>
      <c r="G110" s="754"/>
      <c r="H110" s="754"/>
      <c r="I110" s="754"/>
      <c r="J110" s="745"/>
      <c r="K110" s="755"/>
      <c r="L110" s="746"/>
      <c r="M110" s="746"/>
      <c r="N110" s="98"/>
      <c r="O110" s="98"/>
      <c r="P110" s="98"/>
      <c r="Q110" s="98"/>
      <c r="T110" s="779">
        <v>0</v>
      </c>
      <c r="U110" s="779">
        <v>0</v>
      </c>
      <c r="V110" s="779">
        <v>0</v>
      </c>
      <c r="W110" s="779">
        <v>0</v>
      </c>
      <c r="X110" s="779">
        <v>0</v>
      </c>
      <c r="Y110" s="779">
        <v>0</v>
      </c>
      <c r="Z110" s="779">
        <v>0</v>
      </c>
      <c r="AA110" s="779">
        <v>0</v>
      </c>
      <c r="AB110" s="779">
        <v>0</v>
      </c>
      <c r="AC110" s="779">
        <v>0</v>
      </c>
    </row>
    <row r="111" spans="2:29" outlineLevel="1">
      <c r="B111" s="730" t="s">
        <v>683</v>
      </c>
      <c r="C111" s="1085" t="s">
        <v>479</v>
      </c>
      <c r="D111" s="1085"/>
      <c r="E111" s="1085"/>
      <c r="F111" s="1085"/>
      <c r="G111" s="1085"/>
      <c r="H111" s="1085"/>
      <c r="I111" s="1085"/>
      <c r="J111" s="1085"/>
      <c r="K111" s="1085"/>
      <c r="L111" s="1085"/>
      <c r="M111" s="1085"/>
      <c r="N111" s="98"/>
      <c r="O111" s="98"/>
      <c r="P111" s="98"/>
      <c r="Q111" s="98"/>
      <c r="T111" s="779">
        <v>0</v>
      </c>
      <c r="U111" s="779">
        <v>0</v>
      </c>
      <c r="V111" s="779">
        <v>0</v>
      </c>
      <c r="W111" s="779">
        <v>0</v>
      </c>
      <c r="X111" s="779">
        <v>0</v>
      </c>
      <c r="Y111" s="779">
        <v>0</v>
      </c>
      <c r="Z111" s="779">
        <v>0</v>
      </c>
      <c r="AA111" s="779">
        <v>0</v>
      </c>
      <c r="AB111" s="779">
        <v>0</v>
      </c>
      <c r="AC111" s="779">
        <v>0</v>
      </c>
    </row>
    <row r="112" spans="2:29">
      <c r="F112" s="117"/>
      <c r="G112" s="117"/>
      <c r="H112" s="117"/>
      <c r="I112" s="117"/>
      <c r="S112" s="537" t="s">
        <v>684</v>
      </c>
      <c r="T112" s="780">
        <f>SUM(T102:T111)</f>
        <v>-428</v>
      </c>
      <c r="U112" s="780">
        <f t="shared" ref="U112:AC112" si="4">SUM(U102:U111)</f>
        <v>0</v>
      </c>
      <c r="V112" s="780">
        <f t="shared" si="4"/>
        <v>0</v>
      </c>
      <c r="W112" s="780">
        <f t="shared" si="4"/>
        <v>0</v>
      </c>
      <c r="X112" s="780">
        <f t="shared" si="4"/>
        <v>0</v>
      </c>
      <c r="Y112" s="780">
        <f t="shared" si="4"/>
        <v>0</v>
      </c>
      <c r="Z112" s="780">
        <f t="shared" si="4"/>
        <v>0</v>
      </c>
      <c r="AA112" s="780">
        <f t="shared" si="4"/>
        <v>0</v>
      </c>
      <c r="AB112" s="780">
        <f t="shared" si="4"/>
        <v>0</v>
      </c>
      <c r="AC112" s="780">
        <f t="shared" si="4"/>
        <v>0</v>
      </c>
    </row>
    <row r="113" spans="2:29">
      <c r="F113" s="117"/>
      <c r="G113" s="117"/>
      <c r="H113" s="117"/>
      <c r="I113" s="117"/>
      <c r="T113" s="781"/>
      <c r="U113" s="781"/>
      <c r="V113" s="781"/>
      <c r="W113" s="781"/>
      <c r="X113" s="781"/>
      <c r="Y113" s="781"/>
      <c r="Z113" s="781"/>
      <c r="AA113" s="781"/>
      <c r="AB113" s="782"/>
      <c r="AC113" s="781"/>
    </row>
    <row r="114" spans="2:29">
      <c r="B114" s="201" t="s">
        <v>443</v>
      </c>
      <c r="C114" s="201"/>
      <c r="D114" s="98" t="s">
        <v>685</v>
      </c>
      <c r="E114" s="98"/>
      <c r="F114" s="98"/>
      <c r="G114" s="98"/>
      <c r="H114" s="98"/>
      <c r="I114" s="98"/>
      <c r="J114" s="98"/>
      <c r="K114" s="98"/>
      <c r="L114" s="98"/>
      <c r="M114" s="98"/>
      <c r="N114" s="98"/>
      <c r="O114" s="98"/>
      <c r="P114" s="98"/>
      <c r="Q114" s="98"/>
      <c r="R114" s="98"/>
      <c r="S114" s="98"/>
      <c r="T114" s="786"/>
      <c r="U114" s="786"/>
      <c r="V114" s="786"/>
      <c r="W114" s="786"/>
      <c r="X114" s="786"/>
      <c r="Y114" s="786"/>
      <c r="Z114" s="786"/>
      <c r="AA114" s="786"/>
      <c r="AB114" s="787"/>
      <c r="AC114" s="786"/>
    </row>
    <row r="115" spans="2:29" ht="27" outlineLevel="1">
      <c r="B115" s="729"/>
      <c r="C115" s="723" t="s">
        <v>678</v>
      </c>
      <c r="D115" s="537"/>
      <c r="E115" s="536"/>
      <c r="F115" s="537"/>
      <c r="G115" s="537"/>
      <c r="H115" s="537"/>
      <c r="I115" s="537"/>
      <c r="J115" s="537"/>
      <c r="K115" s="537"/>
      <c r="L115" s="537"/>
      <c r="M115" s="537"/>
      <c r="N115" s="537"/>
      <c r="O115" s="723" t="s">
        <v>686</v>
      </c>
      <c r="P115" s="723" t="s">
        <v>687</v>
      </c>
      <c r="Q115" s="723" t="s">
        <v>688</v>
      </c>
      <c r="R115" s="98"/>
      <c r="S115" s="98"/>
      <c r="T115" s="789" t="s">
        <v>446</v>
      </c>
      <c r="U115" s="789" t="s">
        <v>446</v>
      </c>
      <c r="V115" s="789" t="s">
        <v>446</v>
      </c>
      <c r="W115" s="789" t="s">
        <v>446</v>
      </c>
      <c r="X115" s="789" t="s">
        <v>446</v>
      </c>
      <c r="Y115" s="789" t="s">
        <v>446</v>
      </c>
      <c r="Z115" s="789" t="s">
        <v>446</v>
      </c>
      <c r="AA115" s="789" t="s">
        <v>446</v>
      </c>
      <c r="AB115" s="789" t="s">
        <v>446</v>
      </c>
      <c r="AC115" s="789" t="s">
        <v>446</v>
      </c>
    </row>
    <row r="116" spans="2:29" outlineLevel="1">
      <c r="B116" s="768" t="s">
        <v>397</v>
      </c>
      <c r="C116" s="768"/>
      <c r="D116" s="729" t="s">
        <v>445</v>
      </c>
      <c r="E116" s="536"/>
      <c r="F116" s="537"/>
      <c r="G116" s="537"/>
      <c r="H116" s="537"/>
      <c r="I116" s="537"/>
      <c r="J116" s="537"/>
      <c r="K116" s="537"/>
      <c r="L116" s="537"/>
      <c r="M116" s="537"/>
      <c r="N116" s="537"/>
      <c r="O116" s="536" t="s">
        <v>472</v>
      </c>
      <c r="P116" s="536" t="s">
        <v>472</v>
      </c>
      <c r="Q116" s="537"/>
      <c r="R116" s="98"/>
      <c r="S116" s="98"/>
      <c r="T116" s="790" t="s">
        <v>398</v>
      </c>
      <c r="U116" s="790" t="s">
        <v>398</v>
      </c>
      <c r="V116" s="790" t="s">
        <v>398</v>
      </c>
      <c r="W116" s="790" t="s">
        <v>398</v>
      </c>
      <c r="X116" s="790" t="s">
        <v>398</v>
      </c>
      <c r="Y116" s="790" t="s">
        <v>398</v>
      </c>
      <c r="Z116" s="790" t="s">
        <v>398</v>
      </c>
      <c r="AA116" s="790" t="s">
        <v>398</v>
      </c>
      <c r="AB116" s="790" t="s">
        <v>398</v>
      </c>
      <c r="AC116" s="790" t="s">
        <v>398</v>
      </c>
    </row>
    <row r="117" spans="2:29" outlineLevel="1">
      <c r="B117" s="753" t="s">
        <v>447</v>
      </c>
      <c r="C117" s="739"/>
      <c r="D117" s="1090"/>
      <c r="E117" s="1090"/>
      <c r="F117" s="1090"/>
      <c r="G117" s="1090"/>
      <c r="H117" s="1090"/>
      <c r="I117" s="1090"/>
      <c r="J117" s="1090"/>
      <c r="K117" s="1090"/>
      <c r="L117" s="1090"/>
      <c r="M117" s="1090"/>
      <c r="N117" s="1090"/>
      <c r="O117" s="739"/>
      <c r="P117" s="739"/>
      <c r="Q117" s="756"/>
      <c r="R117" s="98"/>
      <c r="S117" s="98"/>
      <c r="T117" s="779">
        <v>0</v>
      </c>
      <c r="U117" s="779">
        <v>0</v>
      </c>
      <c r="V117" s="779">
        <v>0</v>
      </c>
      <c r="W117" s="779">
        <v>0</v>
      </c>
      <c r="X117" s="779">
        <v>0</v>
      </c>
      <c r="Y117" s="779">
        <v>0</v>
      </c>
      <c r="Z117" s="779">
        <v>0</v>
      </c>
      <c r="AA117" s="779">
        <v>0</v>
      </c>
      <c r="AB117" s="779">
        <v>0</v>
      </c>
      <c r="AC117" s="779">
        <v>0</v>
      </c>
    </row>
    <row r="118" spans="2:29" outlineLevel="1">
      <c r="B118" s="753" t="s">
        <v>448</v>
      </c>
      <c r="C118" s="739"/>
      <c r="D118" s="1090"/>
      <c r="E118" s="1090"/>
      <c r="F118" s="1090"/>
      <c r="G118" s="1090"/>
      <c r="H118" s="1090"/>
      <c r="I118" s="1090"/>
      <c r="J118" s="1090"/>
      <c r="K118" s="1090"/>
      <c r="L118" s="1090"/>
      <c r="M118" s="1090"/>
      <c r="N118" s="1090"/>
      <c r="O118" s="739"/>
      <c r="P118" s="739"/>
      <c r="Q118" s="756"/>
      <c r="R118" s="98"/>
      <c r="S118" s="98"/>
      <c r="T118" s="779">
        <v>0</v>
      </c>
      <c r="U118" s="779">
        <v>0</v>
      </c>
      <c r="V118" s="779">
        <v>0</v>
      </c>
      <c r="W118" s="779">
        <v>0</v>
      </c>
      <c r="X118" s="779">
        <v>0</v>
      </c>
      <c r="Y118" s="779">
        <v>0</v>
      </c>
      <c r="Z118" s="779">
        <v>0</v>
      </c>
      <c r="AA118" s="779">
        <v>0</v>
      </c>
      <c r="AB118" s="779">
        <v>0</v>
      </c>
      <c r="AC118" s="779">
        <v>0</v>
      </c>
    </row>
    <row r="119" spans="2:29" outlineLevel="1">
      <c r="B119" s="753" t="s">
        <v>449</v>
      </c>
      <c r="C119" s="739"/>
      <c r="D119" s="1090"/>
      <c r="E119" s="1090"/>
      <c r="F119" s="1090"/>
      <c r="G119" s="1090"/>
      <c r="H119" s="1090"/>
      <c r="I119" s="1090"/>
      <c r="J119" s="1090"/>
      <c r="K119" s="1090"/>
      <c r="L119" s="1090"/>
      <c r="M119" s="1090"/>
      <c r="N119" s="1090"/>
      <c r="O119" s="739"/>
      <c r="P119" s="739"/>
      <c r="Q119" s="756"/>
      <c r="R119" s="98"/>
      <c r="S119" s="98"/>
      <c r="T119" s="779">
        <v>0</v>
      </c>
      <c r="U119" s="779">
        <v>0</v>
      </c>
      <c r="V119" s="779">
        <v>0</v>
      </c>
      <c r="W119" s="779">
        <v>0</v>
      </c>
      <c r="X119" s="779">
        <v>0</v>
      </c>
      <c r="Y119" s="779">
        <v>0</v>
      </c>
      <c r="Z119" s="779">
        <v>0</v>
      </c>
      <c r="AA119" s="779">
        <v>0</v>
      </c>
      <c r="AB119" s="779">
        <v>0</v>
      </c>
      <c r="AC119" s="779">
        <v>0</v>
      </c>
    </row>
    <row r="120" spans="2:29" outlineLevel="1">
      <c r="B120" s="753" t="s">
        <v>450</v>
      </c>
      <c r="C120" s="739"/>
      <c r="D120" s="1090"/>
      <c r="E120" s="1090"/>
      <c r="F120" s="1090"/>
      <c r="G120" s="1090"/>
      <c r="H120" s="1090"/>
      <c r="I120" s="1090"/>
      <c r="J120" s="1090"/>
      <c r="K120" s="1090"/>
      <c r="L120" s="1090"/>
      <c r="M120" s="1090"/>
      <c r="N120" s="1090"/>
      <c r="O120" s="739"/>
      <c r="P120" s="739"/>
      <c r="Q120" s="756"/>
      <c r="R120" s="98"/>
      <c r="S120" s="98"/>
      <c r="T120" s="779">
        <v>0</v>
      </c>
      <c r="U120" s="779">
        <v>0</v>
      </c>
      <c r="V120" s="779">
        <v>0</v>
      </c>
      <c r="W120" s="779">
        <v>0</v>
      </c>
      <c r="X120" s="779">
        <v>0</v>
      </c>
      <c r="Y120" s="779">
        <v>0</v>
      </c>
      <c r="Z120" s="779">
        <v>0</v>
      </c>
      <c r="AA120" s="779">
        <v>0</v>
      </c>
      <c r="AB120" s="779">
        <v>0</v>
      </c>
      <c r="AC120" s="779">
        <v>0</v>
      </c>
    </row>
    <row r="121" spans="2:29" outlineLevel="1">
      <c r="B121" s="753" t="s">
        <v>451</v>
      </c>
      <c r="C121" s="739"/>
      <c r="D121" s="1090"/>
      <c r="E121" s="1090"/>
      <c r="F121" s="1090"/>
      <c r="G121" s="1090"/>
      <c r="H121" s="1090"/>
      <c r="I121" s="1090"/>
      <c r="J121" s="1090"/>
      <c r="K121" s="1090"/>
      <c r="L121" s="1090"/>
      <c r="M121" s="1090"/>
      <c r="N121" s="1090"/>
      <c r="O121" s="739"/>
      <c r="P121" s="739"/>
      <c r="Q121" s="756"/>
      <c r="R121" s="98"/>
      <c r="S121" s="98"/>
      <c r="T121" s="779">
        <v>0</v>
      </c>
      <c r="U121" s="779">
        <v>0</v>
      </c>
      <c r="V121" s="779">
        <v>0</v>
      </c>
      <c r="W121" s="779">
        <v>0</v>
      </c>
      <c r="X121" s="779">
        <v>0</v>
      </c>
      <c r="Y121" s="779">
        <v>0</v>
      </c>
      <c r="Z121" s="779">
        <v>0</v>
      </c>
      <c r="AA121" s="779">
        <v>0</v>
      </c>
      <c r="AB121" s="779">
        <v>0</v>
      </c>
      <c r="AC121" s="779">
        <v>0</v>
      </c>
    </row>
    <row r="122" spans="2:29" outlineLevel="1">
      <c r="B122" s="753" t="s">
        <v>452</v>
      </c>
      <c r="C122" s="739"/>
      <c r="D122" s="1090"/>
      <c r="E122" s="1090"/>
      <c r="F122" s="1090"/>
      <c r="G122" s="1090"/>
      <c r="H122" s="1090"/>
      <c r="I122" s="1090"/>
      <c r="J122" s="1090"/>
      <c r="K122" s="1090"/>
      <c r="L122" s="1090"/>
      <c r="M122" s="1090"/>
      <c r="N122" s="1090"/>
      <c r="O122" s="739"/>
      <c r="P122" s="739"/>
      <c r="Q122" s="756"/>
      <c r="R122" s="98"/>
      <c r="S122" s="98"/>
      <c r="T122" s="779">
        <v>0</v>
      </c>
      <c r="U122" s="779">
        <v>0</v>
      </c>
      <c r="V122" s="779">
        <v>0</v>
      </c>
      <c r="W122" s="779">
        <v>0</v>
      </c>
      <c r="X122" s="779">
        <v>0</v>
      </c>
      <c r="Y122" s="779">
        <v>0</v>
      </c>
      <c r="Z122" s="779">
        <v>0</v>
      </c>
      <c r="AA122" s="779">
        <v>0</v>
      </c>
      <c r="AB122" s="779">
        <v>0</v>
      </c>
      <c r="AC122" s="779">
        <v>0</v>
      </c>
    </row>
    <row r="123" spans="2:29" outlineLevel="1">
      <c r="B123" s="753" t="s">
        <v>453</v>
      </c>
      <c r="C123" s="739"/>
      <c r="D123" s="1090"/>
      <c r="E123" s="1090"/>
      <c r="F123" s="1090"/>
      <c r="G123" s="1090"/>
      <c r="H123" s="1090"/>
      <c r="I123" s="1090"/>
      <c r="J123" s="1090"/>
      <c r="K123" s="1090"/>
      <c r="L123" s="1090"/>
      <c r="M123" s="1090"/>
      <c r="N123" s="1090"/>
      <c r="O123" s="739"/>
      <c r="P123" s="739"/>
      <c r="Q123" s="756"/>
      <c r="R123" s="98"/>
      <c r="S123" s="98"/>
      <c r="T123" s="779">
        <v>0</v>
      </c>
      <c r="U123" s="779">
        <v>0</v>
      </c>
      <c r="V123" s="779">
        <v>0</v>
      </c>
      <c r="W123" s="779">
        <v>0</v>
      </c>
      <c r="X123" s="779">
        <v>0</v>
      </c>
      <c r="Y123" s="779">
        <v>0</v>
      </c>
      <c r="Z123" s="779">
        <v>0</v>
      </c>
      <c r="AA123" s="779">
        <v>0</v>
      </c>
      <c r="AB123" s="779">
        <v>0</v>
      </c>
      <c r="AC123" s="779">
        <v>0</v>
      </c>
    </row>
    <row r="124" spans="2:29" outlineLevel="1">
      <c r="B124" s="753" t="s">
        <v>454</v>
      </c>
      <c r="C124" s="739"/>
      <c r="D124" s="1090"/>
      <c r="E124" s="1090"/>
      <c r="F124" s="1090"/>
      <c r="G124" s="1090"/>
      <c r="H124" s="1090"/>
      <c r="I124" s="1090"/>
      <c r="J124" s="1090"/>
      <c r="K124" s="1090"/>
      <c r="L124" s="1090"/>
      <c r="M124" s="1090"/>
      <c r="N124" s="1090"/>
      <c r="O124" s="739"/>
      <c r="P124" s="739"/>
      <c r="Q124" s="756"/>
      <c r="R124" s="98"/>
      <c r="S124" s="98"/>
      <c r="T124" s="779">
        <v>0</v>
      </c>
      <c r="U124" s="779">
        <v>0</v>
      </c>
      <c r="V124" s="779">
        <v>0</v>
      </c>
      <c r="W124" s="779">
        <v>0</v>
      </c>
      <c r="X124" s="779">
        <v>0</v>
      </c>
      <c r="Y124" s="779">
        <v>0</v>
      </c>
      <c r="Z124" s="779">
        <v>0</v>
      </c>
      <c r="AA124" s="779">
        <v>0</v>
      </c>
      <c r="AB124" s="779">
        <v>0</v>
      </c>
      <c r="AC124" s="779">
        <v>0</v>
      </c>
    </row>
    <row r="125" spans="2:29" outlineLevel="1">
      <c r="B125" s="753" t="s">
        <v>455</v>
      </c>
      <c r="C125" s="739"/>
      <c r="D125" s="1090"/>
      <c r="E125" s="1090"/>
      <c r="F125" s="1090"/>
      <c r="G125" s="1090"/>
      <c r="H125" s="1090"/>
      <c r="I125" s="1090"/>
      <c r="J125" s="1090"/>
      <c r="K125" s="1090"/>
      <c r="L125" s="1090"/>
      <c r="M125" s="1090"/>
      <c r="N125" s="1090"/>
      <c r="O125" s="739"/>
      <c r="P125" s="739"/>
      <c r="Q125" s="748"/>
      <c r="R125" s="98"/>
      <c r="S125" s="98"/>
      <c r="T125" s="779">
        <v>0</v>
      </c>
      <c r="U125" s="779">
        <v>0</v>
      </c>
      <c r="V125" s="779">
        <v>0</v>
      </c>
      <c r="W125" s="779">
        <v>0</v>
      </c>
      <c r="X125" s="779">
        <v>0</v>
      </c>
      <c r="Y125" s="779">
        <v>0</v>
      </c>
      <c r="Z125" s="779">
        <v>0</v>
      </c>
      <c r="AA125" s="779">
        <v>0</v>
      </c>
      <c r="AB125" s="779">
        <v>0</v>
      </c>
      <c r="AC125" s="779">
        <v>0</v>
      </c>
    </row>
    <row r="126" spans="2:29" outlineLevel="1">
      <c r="B126" s="730" t="s">
        <v>689</v>
      </c>
      <c r="C126" s="1085" t="s">
        <v>479</v>
      </c>
      <c r="D126" s="1085"/>
      <c r="E126" s="1085"/>
      <c r="F126" s="1085"/>
      <c r="G126" s="1085"/>
      <c r="H126" s="1085"/>
      <c r="I126" s="1085"/>
      <c r="J126" s="1085"/>
      <c r="K126" s="1085"/>
      <c r="L126" s="1085"/>
      <c r="M126" s="1085"/>
      <c r="N126" s="1085"/>
      <c r="O126" s="1085"/>
      <c r="P126" s="1085"/>
      <c r="Q126" s="1085"/>
      <c r="R126" s="98"/>
      <c r="T126" s="779">
        <v>0</v>
      </c>
      <c r="U126" s="779">
        <v>0</v>
      </c>
      <c r="V126" s="779">
        <v>0</v>
      </c>
      <c r="W126" s="779">
        <v>0</v>
      </c>
      <c r="X126" s="779">
        <v>0</v>
      </c>
      <c r="Y126" s="779">
        <v>0</v>
      </c>
      <c r="Z126" s="779">
        <v>0</v>
      </c>
      <c r="AA126" s="779">
        <v>0</v>
      </c>
      <c r="AB126" s="779">
        <v>0</v>
      </c>
      <c r="AC126" s="779">
        <v>0</v>
      </c>
    </row>
    <row r="127" spans="2:29">
      <c r="F127" s="117"/>
      <c r="G127" s="117"/>
      <c r="H127" s="117"/>
      <c r="I127" s="117"/>
      <c r="S127" s="394" t="s">
        <v>690</v>
      </c>
      <c r="T127" s="780">
        <f t="shared" ref="T127:AC127" si="5">SUM(T117:T126)</f>
        <v>0</v>
      </c>
      <c r="U127" s="780">
        <f t="shared" si="5"/>
        <v>0</v>
      </c>
      <c r="V127" s="780">
        <f t="shared" si="5"/>
        <v>0</v>
      </c>
      <c r="W127" s="780">
        <f t="shared" si="5"/>
        <v>0</v>
      </c>
      <c r="X127" s="780">
        <f t="shared" si="5"/>
        <v>0</v>
      </c>
      <c r="Y127" s="780">
        <f t="shared" si="5"/>
        <v>0</v>
      </c>
      <c r="Z127" s="780">
        <f t="shared" si="5"/>
        <v>0</v>
      </c>
      <c r="AA127" s="780">
        <f t="shared" si="5"/>
        <v>0</v>
      </c>
      <c r="AB127" s="780">
        <f t="shared" si="5"/>
        <v>0</v>
      </c>
      <c r="AC127" s="780">
        <f t="shared" si="5"/>
        <v>0</v>
      </c>
    </row>
    <row r="128" spans="2:29">
      <c r="F128" s="117"/>
      <c r="G128" s="117"/>
      <c r="H128" s="117"/>
      <c r="I128" s="117"/>
      <c r="T128" s="781"/>
      <c r="U128" s="781"/>
      <c r="V128" s="781"/>
      <c r="W128" s="781"/>
      <c r="X128" s="781"/>
      <c r="Y128" s="781"/>
      <c r="Z128" s="781"/>
      <c r="AA128" s="781"/>
      <c r="AB128" s="782"/>
      <c r="AC128" s="781"/>
    </row>
    <row r="129" spans="2:29">
      <c r="B129" s="201" t="s">
        <v>456</v>
      </c>
      <c r="C129" s="201"/>
      <c r="D129" s="98" t="s">
        <v>691</v>
      </c>
      <c r="E129" s="98"/>
      <c r="F129" s="98"/>
      <c r="G129" s="98"/>
      <c r="H129" s="98"/>
      <c r="I129" s="98"/>
      <c r="J129" s="98"/>
      <c r="K129" s="98"/>
      <c r="L129" s="98"/>
      <c r="M129" s="98"/>
      <c r="N129" s="98"/>
      <c r="O129" s="98"/>
      <c r="P129" s="98"/>
      <c r="Q129" s="98"/>
      <c r="R129" s="98"/>
      <c r="S129" s="98"/>
      <c r="T129" s="786"/>
      <c r="U129" s="786"/>
      <c r="V129" s="786"/>
      <c r="W129" s="786"/>
      <c r="X129" s="786"/>
      <c r="Y129" s="786"/>
      <c r="Z129" s="786"/>
      <c r="AA129" s="786"/>
      <c r="AB129" s="787"/>
      <c r="AC129" s="786"/>
    </row>
    <row r="130" spans="2:29" ht="27" outlineLevel="1">
      <c r="B130" s="729"/>
      <c r="C130" s="723" t="s">
        <v>678</v>
      </c>
      <c r="D130" s="537"/>
      <c r="E130" s="537"/>
      <c r="F130" s="537"/>
      <c r="G130" s="537"/>
      <c r="H130" s="537"/>
      <c r="I130" s="537"/>
      <c r="J130" s="537"/>
      <c r="K130" s="537"/>
      <c r="L130" s="537"/>
      <c r="M130" s="537"/>
      <c r="N130" s="537"/>
      <c r="O130" s="536" t="s">
        <v>692</v>
      </c>
      <c r="P130" s="536" t="s">
        <v>693</v>
      </c>
      <c r="Q130" s="536" t="s">
        <v>694</v>
      </c>
      <c r="R130" s="98"/>
      <c r="S130" s="98"/>
      <c r="T130" s="791" t="s">
        <v>695</v>
      </c>
      <c r="U130" s="791" t="s">
        <v>695</v>
      </c>
      <c r="V130" s="791" t="s">
        <v>695</v>
      </c>
      <c r="W130" s="791" t="s">
        <v>695</v>
      </c>
      <c r="X130" s="791" t="s">
        <v>695</v>
      </c>
      <c r="Y130" s="791" t="s">
        <v>695</v>
      </c>
      <c r="Z130" s="791" t="s">
        <v>695</v>
      </c>
      <c r="AA130" s="791" t="s">
        <v>695</v>
      </c>
      <c r="AB130" s="791" t="s">
        <v>695</v>
      </c>
      <c r="AC130" s="791" t="s">
        <v>695</v>
      </c>
    </row>
    <row r="131" spans="2:29" outlineLevel="1">
      <c r="B131" s="729"/>
      <c r="C131" s="536"/>
      <c r="D131" s="537"/>
      <c r="E131" s="536"/>
      <c r="F131" s="537"/>
      <c r="G131" s="537"/>
      <c r="H131" s="537"/>
      <c r="I131" s="537"/>
      <c r="J131" s="537"/>
      <c r="K131" s="537"/>
      <c r="L131" s="537"/>
      <c r="M131" s="537"/>
      <c r="N131" s="537"/>
      <c r="O131" s="536" t="s">
        <v>696</v>
      </c>
      <c r="P131" s="536" t="s">
        <v>696</v>
      </c>
      <c r="Q131" s="536" t="s">
        <v>152</v>
      </c>
      <c r="R131" s="98"/>
      <c r="S131" s="98"/>
      <c r="T131" s="792" t="s">
        <v>697</v>
      </c>
      <c r="U131" s="792" t="s">
        <v>697</v>
      </c>
      <c r="V131" s="792" t="s">
        <v>697</v>
      </c>
      <c r="W131" s="792" t="s">
        <v>697</v>
      </c>
      <c r="X131" s="792" t="s">
        <v>697</v>
      </c>
      <c r="Y131" s="792" t="s">
        <v>697</v>
      </c>
      <c r="Z131" s="792" t="s">
        <v>697</v>
      </c>
      <c r="AA131" s="792" t="s">
        <v>697</v>
      </c>
      <c r="AB131" s="792" t="s">
        <v>697</v>
      </c>
      <c r="AC131" s="792" t="s">
        <v>697</v>
      </c>
    </row>
    <row r="132" spans="2:29" outlineLevel="1">
      <c r="B132" s="729" t="s">
        <v>397</v>
      </c>
      <c r="C132" s="729"/>
      <c r="D132" s="536" t="s">
        <v>445</v>
      </c>
      <c r="E132" s="536"/>
      <c r="F132" s="537"/>
      <c r="G132" s="537"/>
      <c r="H132" s="537"/>
      <c r="I132" s="537"/>
      <c r="J132" s="537"/>
      <c r="K132" s="537"/>
      <c r="L132" s="537"/>
      <c r="M132" s="537"/>
      <c r="N132" s="537"/>
      <c r="O132" s="536" t="s">
        <v>472</v>
      </c>
      <c r="P132" s="536" t="s">
        <v>472</v>
      </c>
      <c r="Q132" s="537"/>
      <c r="R132" s="98"/>
      <c r="S132" s="98"/>
      <c r="T132" s="790" t="s">
        <v>398</v>
      </c>
      <c r="U132" s="790" t="s">
        <v>398</v>
      </c>
      <c r="V132" s="790" t="s">
        <v>398</v>
      </c>
      <c r="W132" s="790" t="s">
        <v>398</v>
      </c>
      <c r="X132" s="790" t="s">
        <v>398</v>
      </c>
      <c r="Y132" s="790" t="s">
        <v>398</v>
      </c>
      <c r="Z132" s="790" t="s">
        <v>398</v>
      </c>
      <c r="AA132" s="790" t="s">
        <v>398</v>
      </c>
      <c r="AB132" s="790" t="s">
        <v>398</v>
      </c>
      <c r="AC132" s="790" t="s">
        <v>398</v>
      </c>
    </row>
    <row r="133" spans="2:29" outlineLevel="1">
      <c r="B133" s="729" t="s">
        <v>458</v>
      </c>
      <c r="C133" s="739"/>
      <c r="D133" s="1090"/>
      <c r="E133" s="1090"/>
      <c r="F133" s="1090"/>
      <c r="G133" s="1090"/>
      <c r="H133" s="1090"/>
      <c r="I133" s="1090"/>
      <c r="J133" s="1090"/>
      <c r="K133" s="1090"/>
      <c r="L133" s="1090"/>
      <c r="M133" s="1090"/>
      <c r="N133" s="1090"/>
      <c r="O133" s="739"/>
      <c r="P133" s="739"/>
      <c r="Q133" s="756"/>
      <c r="R133" s="98"/>
      <c r="S133" s="98"/>
      <c r="T133" s="779">
        <v>0</v>
      </c>
      <c r="U133" s="779">
        <v>0</v>
      </c>
      <c r="V133" s="779">
        <v>0</v>
      </c>
      <c r="W133" s="779">
        <v>0</v>
      </c>
      <c r="X133" s="779">
        <v>0</v>
      </c>
      <c r="Y133" s="779">
        <v>0</v>
      </c>
      <c r="Z133" s="779">
        <v>0</v>
      </c>
      <c r="AA133" s="779">
        <v>0</v>
      </c>
      <c r="AB133" s="779">
        <v>0</v>
      </c>
      <c r="AC133" s="779">
        <v>0</v>
      </c>
    </row>
    <row r="134" spans="2:29" outlineLevel="1">
      <c r="B134" s="729" t="s">
        <v>459</v>
      </c>
      <c r="C134" s="739"/>
      <c r="D134" s="1090"/>
      <c r="E134" s="1090"/>
      <c r="F134" s="1090"/>
      <c r="G134" s="1090"/>
      <c r="H134" s="1090"/>
      <c r="I134" s="1090"/>
      <c r="J134" s="1090"/>
      <c r="K134" s="1090"/>
      <c r="L134" s="1090"/>
      <c r="M134" s="1090"/>
      <c r="N134" s="1090"/>
      <c r="O134" s="739"/>
      <c r="P134" s="739"/>
      <c r="Q134" s="756"/>
      <c r="R134" s="98"/>
      <c r="S134" s="98"/>
      <c r="T134" s="779">
        <v>0</v>
      </c>
      <c r="U134" s="779">
        <v>0</v>
      </c>
      <c r="V134" s="779">
        <v>0</v>
      </c>
      <c r="W134" s="779">
        <v>0</v>
      </c>
      <c r="X134" s="779">
        <v>0</v>
      </c>
      <c r="Y134" s="779">
        <v>0</v>
      </c>
      <c r="Z134" s="779">
        <v>0</v>
      </c>
      <c r="AA134" s="779">
        <v>0</v>
      </c>
      <c r="AB134" s="779">
        <v>0</v>
      </c>
      <c r="AC134" s="779">
        <v>0</v>
      </c>
    </row>
    <row r="135" spans="2:29" outlineLevel="1">
      <c r="B135" s="729" t="s">
        <v>460</v>
      </c>
      <c r="C135" s="739"/>
      <c r="D135" s="1090"/>
      <c r="E135" s="1090"/>
      <c r="F135" s="1090"/>
      <c r="G135" s="1090"/>
      <c r="H135" s="1090"/>
      <c r="I135" s="1090"/>
      <c r="J135" s="1090"/>
      <c r="K135" s="1090"/>
      <c r="L135" s="1090"/>
      <c r="M135" s="1090"/>
      <c r="N135" s="1090"/>
      <c r="O135" s="739"/>
      <c r="P135" s="739"/>
      <c r="Q135" s="756"/>
      <c r="R135" s="98"/>
      <c r="S135" s="98"/>
      <c r="T135" s="779">
        <v>0</v>
      </c>
      <c r="U135" s="779">
        <v>0</v>
      </c>
      <c r="V135" s="779">
        <v>0</v>
      </c>
      <c r="W135" s="779">
        <v>0</v>
      </c>
      <c r="X135" s="779">
        <v>0</v>
      </c>
      <c r="Y135" s="779">
        <v>0</v>
      </c>
      <c r="Z135" s="779">
        <v>0</v>
      </c>
      <c r="AA135" s="779">
        <v>0</v>
      </c>
      <c r="AB135" s="779">
        <v>0</v>
      </c>
      <c r="AC135" s="779">
        <v>0</v>
      </c>
    </row>
    <row r="136" spans="2:29" outlineLevel="1">
      <c r="B136" s="729" t="s">
        <v>461</v>
      </c>
      <c r="C136" s="739"/>
      <c r="D136" s="1090"/>
      <c r="E136" s="1090"/>
      <c r="F136" s="1090"/>
      <c r="G136" s="1090"/>
      <c r="H136" s="1090"/>
      <c r="I136" s="1090"/>
      <c r="J136" s="1090"/>
      <c r="K136" s="1090"/>
      <c r="L136" s="1090"/>
      <c r="M136" s="1090"/>
      <c r="N136" s="1090"/>
      <c r="O136" s="739"/>
      <c r="P136" s="739"/>
      <c r="Q136" s="756"/>
      <c r="R136" s="98"/>
      <c r="S136" s="98"/>
      <c r="T136" s="779">
        <v>0</v>
      </c>
      <c r="U136" s="779">
        <v>0</v>
      </c>
      <c r="V136" s="779">
        <v>0</v>
      </c>
      <c r="W136" s="779">
        <v>0</v>
      </c>
      <c r="X136" s="779">
        <v>0</v>
      </c>
      <c r="Y136" s="779">
        <v>0</v>
      </c>
      <c r="Z136" s="779">
        <v>0</v>
      </c>
      <c r="AA136" s="779">
        <v>0</v>
      </c>
      <c r="AB136" s="779">
        <v>0</v>
      </c>
      <c r="AC136" s="779">
        <v>0</v>
      </c>
    </row>
    <row r="137" spans="2:29" outlineLevel="1">
      <c r="B137" s="729" t="s">
        <v>462</v>
      </c>
      <c r="C137" s="739"/>
      <c r="D137" s="1090"/>
      <c r="E137" s="1090"/>
      <c r="F137" s="1090"/>
      <c r="G137" s="1090"/>
      <c r="H137" s="1090"/>
      <c r="I137" s="1090"/>
      <c r="J137" s="1090"/>
      <c r="K137" s="1090"/>
      <c r="L137" s="1090"/>
      <c r="M137" s="1090"/>
      <c r="N137" s="1090"/>
      <c r="O137" s="739"/>
      <c r="P137" s="739"/>
      <c r="Q137" s="756"/>
      <c r="R137" s="98"/>
      <c r="S137" s="98"/>
      <c r="T137" s="779">
        <v>0</v>
      </c>
      <c r="U137" s="779">
        <v>0</v>
      </c>
      <c r="V137" s="779">
        <v>0</v>
      </c>
      <c r="W137" s="779">
        <v>0</v>
      </c>
      <c r="X137" s="779">
        <v>0</v>
      </c>
      <c r="Y137" s="779">
        <v>0</v>
      </c>
      <c r="Z137" s="779">
        <v>0</v>
      </c>
      <c r="AA137" s="779">
        <v>0</v>
      </c>
      <c r="AB137" s="779">
        <v>0</v>
      </c>
      <c r="AC137" s="779">
        <v>0</v>
      </c>
    </row>
    <row r="138" spans="2:29" outlineLevel="1">
      <c r="B138" s="729" t="s">
        <v>463</v>
      </c>
      <c r="C138" s="739"/>
      <c r="D138" s="1090"/>
      <c r="E138" s="1090"/>
      <c r="F138" s="1090"/>
      <c r="G138" s="1090"/>
      <c r="H138" s="1090"/>
      <c r="I138" s="1090"/>
      <c r="J138" s="1090"/>
      <c r="K138" s="1090"/>
      <c r="L138" s="1090"/>
      <c r="M138" s="1090"/>
      <c r="N138" s="1090"/>
      <c r="O138" s="739"/>
      <c r="P138" s="739"/>
      <c r="Q138" s="756"/>
      <c r="R138" s="98"/>
      <c r="S138" s="98"/>
      <c r="T138" s="779">
        <v>0</v>
      </c>
      <c r="U138" s="779">
        <v>0</v>
      </c>
      <c r="V138" s="779">
        <v>0</v>
      </c>
      <c r="W138" s="779">
        <v>0</v>
      </c>
      <c r="X138" s="779">
        <v>0</v>
      </c>
      <c r="Y138" s="779">
        <v>0</v>
      </c>
      <c r="Z138" s="779">
        <v>0</v>
      </c>
      <c r="AA138" s="779">
        <v>0</v>
      </c>
      <c r="AB138" s="779">
        <v>0</v>
      </c>
      <c r="AC138" s="779">
        <v>0</v>
      </c>
    </row>
    <row r="139" spans="2:29" outlineLevel="1">
      <c r="B139" s="729" t="s">
        <v>464</v>
      </c>
      <c r="C139" s="739"/>
      <c r="D139" s="1090"/>
      <c r="E139" s="1090"/>
      <c r="F139" s="1090"/>
      <c r="G139" s="1090"/>
      <c r="H139" s="1090"/>
      <c r="I139" s="1090"/>
      <c r="J139" s="1090"/>
      <c r="K139" s="1090"/>
      <c r="L139" s="1090"/>
      <c r="M139" s="1090"/>
      <c r="N139" s="1090"/>
      <c r="O139" s="739"/>
      <c r="P139" s="739"/>
      <c r="Q139" s="756"/>
      <c r="R139" s="98"/>
      <c r="S139" s="98"/>
      <c r="T139" s="779">
        <v>0</v>
      </c>
      <c r="U139" s="779">
        <v>0</v>
      </c>
      <c r="V139" s="779">
        <v>0</v>
      </c>
      <c r="W139" s="779">
        <v>0</v>
      </c>
      <c r="X139" s="779">
        <v>0</v>
      </c>
      <c r="Y139" s="779">
        <v>0</v>
      </c>
      <c r="Z139" s="779">
        <v>0</v>
      </c>
      <c r="AA139" s="779">
        <v>0</v>
      </c>
      <c r="AB139" s="779">
        <v>0</v>
      </c>
      <c r="AC139" s="779">
        <v>0</v>
      </c>
    </row>
    <row r="140" spans="2:29" outlineLevel="1">
      <c r="B140" s="729" t="s">
        <v>465</v>
      </c>
      <c r="C140" s="739"/>
      <c r="D140" s="1090"/>
      <c r="E140" s="1090"/>
      <c r="F140" s="1090"/>
      <c r="G140" s="1090"/>
      <c r="H140" s="1090"/>
      <c r="I140" s="1090"/>
      <c r="J140" s="1090"/>
      <c r="K140" s="1090"/>
      <c r="L140" s="1090"/>
      <c r="M140" s="1090"/>
      <c r="N140" s="1090"/>
      <c r="O140" s="739"/>
      <c r="P140" s="739"/>
      <c r="Q140" s="756"/>
      <c r="R140" s="98"/>
      <c r="S140" s="98"/>
      <c r="T140" s="779">
        <v>0</v>
      </c>
      <c r="U140" s="779">
        <v>0</v>
      </c>
      <c r="V140" s="779">
        <v>0</v>
      </c>
      <c r="W140" s="779">
        <v>0</v>
      </c>
      <c r="X140" s="779">
        <v>0</v>
      </c>
      <c r="Y140" s="779">
        <v>0</v>
      </c>
      <c r="Z140" s="779">
        <v>0</v>
      </c>
      <c r="AA140" s="779">
        <v>0</v>
      </c>
      <c r="AB140" s="779">
        <v>0</v>
      </c>
      <c r="AC140" s="779">
        <v>0</v>
      </c>
    </row>
    <row r="141" spans="2:29" outlineLevel="1">
      <c r="B141" s="729" t="s">
        <v>466</v>
      </c>
      <c r="C141" s="739"/>
      <c r="D141" s="1090"/>
      <c r="E141" s="1090"/>
      <c r="F141" s="1090"/>
      <c r="G141" s="1090"/>
      <c r="H141" s="1090"/>
      <c r="I141" s="1090"/>
      <c r="J141" s="1090"/>
      <c r="K141" s="1090"/>
      <c r="L141" s="1090"/>
      <c r="M141" s="1090"/>
      <c r="N141" s="1090"/>
      <c r="O141" s="739"/>
      <c r="P141" s="739"/>
      <c r="Q141" s="748"/>
      <c r="R141" s="98"/>
      <c r="S141" s="98"/>
      <c r="T141" s="779">
        <v>0</v>
      </c>
      <c r="U141" s="779">
        <v>0</v>
      </c>
      <c r="V141" s="779">
        <v>0</v>
      </c>
      <c r="W141" s="779">
        <v>0</v>
      </c>
      <c r="X141" s="779">
        <v>0</v>
      </c>
      <c r="Y141" s="779">
        <v>0</v>
      </c>
      <c r="Z141" s="779">
        <v>0</v>
      </c>
      <c r="AA141" s="779">
        <v>0</v>
      </c>
      <c r="AB141" s="779">
        <v>0</v>
      </c>
      <c r="AC141" s="779">
        <v>0</v>
      </c>
    </row>
    <row r="142" spans="2:29" outlineLevel="1">
      <c r="B142" s="730" t="s">
        <v>698</v>
      </c>
      <c r="C142" s="1085" t="s">
        <v>479</v>
      </c>
      <c r="D142" s="1085"/>
      <c r="E142" s="1085"/>
      <c r="F142" s="1085"/>
      <c r="G142" s="1085"/>
      <c r="H142" s="1085"/>
      <c r="I142" s="1085"/>
      <c r="J142" s="1085"/>
      <c r="K142" s="1085"/>
      <c r="L142" s="1085"/>
      <c r="M142" s="1085"/>
      <c r="N142" s="1085"/>
      <c r="O142" s="1085"/>
      <c r="P142" s="1085"/>
      <c r="Q142" s="1085"/>
      <c r="R142" s="98"/>
      <c r="T142" s="779">
        <v>0</v>
      </c>
      <c r="U142" s="779">
        <v>0</v>
      </c>
      <c r="V142" s="779">
        <v>0</v>
      </c>
      <c r="W142" s="779">
        <v>0</v>
      </c>
      <c r="X142" s="779">
        <v>0</v>
      </c>
      <c r="Y142" s="779">
        <v>0</v>
      </c>
      <c r="Z142" s="779">
        <v>0</v>
      </c>
      <c r="AA142" s="779">
        <v>0</v>
      </c>
      <c r="AB142" s="779">
        <v>0</v>
      </c>
      <c r="AC142" s="779">
        <v>0</v>
      </c>
    </row>
    <row r="143" spans="2:29">
      <c r="F143" s="117"/>
      <c r="G143" s="117"/>
      <c r="H143" s="117"/>
      <c r="I143" s="117"/>
      <c r="R143" s="98"/>
      <c r="S143" s="537" t="s">
        <v>699</v>
      </c>
      <c r="T143" s="780">
        <f t="shared" ref="T143:AC143" si="6">SUM(T133:T142)</f>
        <v>0</v>
      </c>
      <c r="U143" s="780">
        <f t="shared" si="6"/>
        <v>0</v>
      </c>
      <c r="V143" s="780">
        <f t="shared" si="6"/>
        <v>0</v>
      </c>
      <c r="W143" s="780">
        <f t="shared" si="6"/>
        <v>0</v>
      </c>
      <c r="X143" s="780">
        <f t="shared" si="6"/>
        <v>0</v>
      </c>
      <c r="Y143" s="780">
        <f t="shared" si="6"/>
        <v>0</v>
      </c>
      <c r="Z143" s="780">
        <f t="shared" si="6"/>
        <v>0</v>
      </c>
      <c r="AA143" s="780">
        <f t="shared" si="6"/>
        <v>0</v>
      </c>
      <c r="AB143" s="780">
        <f t="shared" si="6"/>
        <v>0</v>
      </c>
      <c r="AC143" s="780">
        <f t="shared" si="6"/>
        <v>0</v>
      </c>
    </row>
    <row r="144" spans="2:29">
      <c r="F144" s="117"/>
      <c r="G144" s="117"/>
      <c r="H144" s="117"/>
      <c r="I144" s="117"/>
      <c r="T144" s="781"/>
      <c r="U144" s="781"/>
      <c r="V144" s="781"/>
      <c r="W144" s="781"/>
      <c r="X144" s="781"/>
      <c r="Y144" s="781"/>
      <c r="Z144" s="781"/>
      <c r="AA144" s="781"/>
      <c r="AB144" s="782"/>
      <c r="AC144" s="781"/>
    </row>
    <row r="145" spans="2:29">
      <c r="B145" s="201" t="s">
        <v>467</v>
      </c>
      <c r="C145" s="201"/>
      <c r="D145" s="118" t="s">
        <v>617</v>
      </c>
      <c r="E145" s="98"/>
      <c r="T145" s="781"/>
      <c r="U145" s="781"/>
      <c r="V145" s="781"/>
      <c r="W145" s="781"/>
      <c r="X145" s="781"/>
      <c r="Y145" s="781"/>
      <c r="Z145" s="781"/>
      <c r="AA145" s="781"/>
      <c r="AB145" s="782"/>
      <c r="AC145" s="781"/>
    </row>
    <row r="146" spans="2:29" outlineLevel="1">
      <c r="T146" s="781"/>
      <c r="U146" s="781"/>
      <c r="V146" s="781"/>
      <c r="W146" s="781"/>
      <c r="X146" s="781"/>
      <c r="Y146" s="781"/>
      <c r="Z146" s="781"/>
      <c r="AA146" s="781"/>
      <c r="AB146" s="782"/>
      <c r="AC146" s="781"/>
    </row>
    <row r="147" spans="2:29" ht="31.5" customHeight="1" outlineLevel="1">
      <c r="B147" s="726"/>
      <c r="C147" s="723" t="s">
        <v>678</v>
      </c>
      <c r="D147" s="536" t="s">
        <v>469</v>
      </c>
      <c r="E147" s="536" t="s">
        <v>470</v>
      </c>
      <c r="F147" s="1086" t="s">
        <v>471</v>
      </c>
      <c r="G147" s="536" t="s">
        <v>483</v>
      </c>
      <c r="H147" s="536" t="s">
        <v>484</v>
      </c>
      <c r="I147" s="536" t="s">
        <v>485</v>
      </c>
      <c r="J147" s="723" t="s">
        <v>486</v>
      </c>
      <c r="K147" s="536" t="s">
        <v>483</v>
      </c>
      <c r="L147" s="536" t="s">
        <v>483</v>
      </c>
      <c r="M147" s="536" t="s">
        <v>483</v>
      </c>
      <c r="N147" s="536" t="s">
        <v>700</v>
      </c>
      <c r="O147" s="536" t="s">
        <v>700</v>
      </c>
      <c r="P147" s="536" t="s">
        <v>700</v>
      </c>
      <c r="Q147" s="536" t="s">
        <v>694</v>
      </c>
      <c r="T147" s="781"/>
      <c r="U147" s="781"/>
      <c r="V147" s="781"/>
      <c r="W147" s="781"/>
      <c r="X147" s="781"/>
      <c r="Y147" s="781"/>
      <c r="Z147" s="781"/>
      <c r="AA147" s="781"/>
      <c r="AB147" s="782"/>
      <c r="AC147" s="781"/>
    </row>
    <row r="148" spans="2:29" s="250" customFormat="1" ht="45.75" customHeight="1" outlineLevel="1">
      <c r="B148" s="727" t="s">
        <v>397</v>
      </c>
      <c r="C148" s="728"/>
      <c r="D148" s="728" t="s">
        <v>472</v>
      </c>
      <c r="E148" s="728" t="s">
        <v>472</v>
      </c>
      <c r="F148" s="1086"/>
      <c r="G148" s="763" t="s">
        <v>136</v>
      </c>
      <c r="H148" s="763" t="s">
        <v>136</v>
      </c>
      <c r="I148" s="738" t="s">
        <v>398</v>
      </c>
      <c r="J148" s="763" t="s">
        <v>487</v>
      </c>
      <c r="K148" s="763" t="s">
        <v>701</v>
      </c>
      <c r="L148" s="764" t="s">
        <v>702</v>
      </c>
      <c r="M148" s="764" t="s">
        <v>703</v>
      </c>
      <c r="N148" s="763" t="s">
        <v>701</v>
      </c>
      <c r="O148" s="764" t="s">
        <v>704</v>
      </c>
      <c r="P148" s="764" t="s">
        <v>703</v>
      </c>
      <c r="Q148" s="728" t="s">
        <v>152</v>
      </c>
      <c r="T148" s="793" t="s">
        <v>398</v>
      </c>
      <c r="U148" s="793" t="s">
        <v>398</v>
      </c>
      <c r="V148" s="793" t="s">
        <v>398</v>
      </c>
      <c r="W148" s="793" t="s">
        <v>398</v>
      </c>
      <c r="X148" s="793" t="s">
        <v>398</v>
      </c>
      <c r="Y148" s="793" t="s">
        <v>398</v>
      </c>
      <c r="Z148" s="793" t="s">
        <v>398</v>
      </c>
      <c r="AA148" s="793" t="s">
        <v>398</v>
      </c>
      <c r="AB148" s="793" t="s">
        <v>398</v>
      </c>
      <c r="AC148" s="793" t="s">
        <v>398</v>
      </c>
    </row>
    <row r="149" spans="2:29" outlineLevel="1">
      <c r="B149" s="729" t="s">
        <v>473</v>
      </c>
      <c r="C149" s="739" t="s">
        <v>1217</v>
      </c>
      <c r="D149" s="739">
        <v>41257</v>
      </c>
      <c r="E149" s="739">
        <v>46742</v>
      </c>
      <c r="F149" s="740" t="s">
        <v>1218</v>
      </c>
      <c r="G149" s="755" t="s">
        <v>140</v>
      </c>
      <c r="H149" s="755" t="s">
        <v>137</v>
      </c>
      <c r="I149" s="765">
        <v>-24.005761379999999</v>
      </c>
      <c r="J149" s="765" t="s">
        <v>1219</v>
      </c>
      <c r="K149" s="776" t="s">
        <v>125</v>
      </c>
      <c r="L149" s="746">
        <v>3.0499999999999999E-2</v>
      </c>
      <c r="M149" s="746" t="s">
        <v>129</v>
      </c>
      <c r="N149" s="745" t="s">
        <v>126</v>
      </c>
      <c r="O149" s="777">
        <v>9.7999999999999997E-3</v>
      </c>
      <c r="P149" s="777" t="s">
        <v>131</v>
      </c>
      <c r="Q149" s="777" t="s">
        <v>1065</v>
      </c>
      <c r="T149" s="779">
        <v>0</v>
      </c>
      <c r="U149" s="779">
        <v>0</v>
      </c>
      <c r="V149" s="779">
        <v>0</v>
      </c>
      <c r="W149" s="779">
        <v>0</v>
      </c>
      <c r="X149" s="779">
        <v>0</v>
      </c>
      <c r="Y149" s="779">
        <v>0</v>
      </c>
      <c r="Z149" s="779">
        <v>0</v>
      </c>
      <c r="AA149" s="779">
        <v>0</v>
      </c>
      <c r="AB149" s="779">
        <v>0</v>
      </c>
      <c r="AC149" s="779">
        <v>0</v>
      </c>
    </row>
    <row r="150" spans="2:29" outlineLevel="1">
      <c r="B150" s="729" t="s">
        <v>474</v>
      </c>
      <c r="C150" s="739" t="s">
        <v>1220</v>
      </c>
      <c r="D150" s="739">
        <v>36189</v>
      </c>
      <c r="E150" s="739">
        <v>47200</v>
      </c>
      <c r="F150" s="740" t="s">
        <v>1221</v>
      </c>
      <c r="G150" s="755" t="s">
        <v>139</v>
      </c>
      <c r="H150" s="755" t="s">
        <v>137</v>
      </c>
      <c r="I150" s="765">
        <v>-52.207999999999998</v>
      </c>
      <c r="J150" s="765" t="s">
        <v>1222</v>
      </c>
      <c r="K150" s="776" t="s">
        <v>125</v>
      </c>
      <c r="L150" s="746">
        <v>4.3099999999999999E-2</v>
      </c>
      <c r="M150" s="746" t="s">
        <v>129</v>
      </c>
      <c r="N150" s="745" t="s">
        <v>126</v>
      </c>
      <c r="O150" s="777">
        <v>3.0000000000000001E-3</v>
      </c>
      <c r="P150" s="777" t="s">
        <v>130</v>
      </c>
      <c r="Q150" s="777" t="s">
        <v>1066</v>
      </c>
      <c r="T150" s="779">
        <v>0</v>
      </c>
      <c r="U150" s="779">
        <v>0</v>
      </c>
      <c r="V150" s="779">
        <v>0</v>
      </c>
      <c r="W150" s="779">
        <v>0</v>
      </c>
      <c r="X150" s="779">
        <v>0</v>
      </c>
      <c r="Y150" s="779">
        <v>0</v>
      </c>
      <c r="Z150" s="779">
        <v>0</v>
      </c>
      <c r="AA150" s="779">
        <v>0</v>
      </c>
      <c r="AB150" s="779">
        <v>0</v>
      </c>
      <c r="AC150" s="779">
        <v>0</v>
      </c>
    </row>
    <row r="151" spans="2:29" outlineLevel="1">
      <c r="B151" s="729" t="s">
        <v>475</v>
      </c>
      <c r="C151" s="739" t="s">
        <v>1223</v>
      </c>
      <c r="D151" s="739">
        <v>36440</v>
      </c>
      <c r="E151" s="739">
        <v>47434</v>
      </c>
      <c r="F151" s="740" t="s">
        <v>1224</v>
      </c>
      <c r="G151" s="755" t="s">
        <v>139</v>
      </c>
      <c r="H151" s="755" t="s">
        <v>137</v>
      </c>
      <c r="I151" s="765">
        <v>-11.205</v>
      </c>
      <c r="J151" s="765" t="s">
        <v>1219</v>
      </c>
      <c r="K151" s="776" t="s">
        <v>125</v>
      </c>
      <c r="L151" s="746">
        <v>4.6300004999999998E-2</v>
      </c>
      <c r="M151" s="746" t="s">
        <v>129</v>
      </c>
      <c r="N151" s="745" t="s">
        <v>126</v>
      </c>
      <c r="O151" s="777">
        <v>3.8999999999999998E-3</v>
      </c>
      <c r="P151" s="777" t="s">
        <v>131</v>
      </c>
      <c r="Q151" s="777" t="s">
        <v>1067</v>
      </c>
      <c r="T151" s="779">
        <v>0</v>
      </c>
      <c r="U151" s="779">
        <v>0</v>
      </c>
      <c r="V151" s="779">
        <v>0</v>
      </c>
      <c r="W151" s="779">
        <v>0</v>
      </c>
      <c r="X151" s="779">
        <v>0</v>
      </c>
      <c r="Y151" s="779">
        <v>0</v>
      </c>
      <c r="Z151" s="779">
        <v>0</v>
      </c>
      <c r="AA151" s="779">
        <v>0</v>
      </c>
      <c r="AB151" s="779">
        <v>0</v>
      </c>
      <c r="AC151" s="779">
        <v>0</v>
      </c>
    </row>
    <row r="152" spans="2:29" outlineLevel="1">
      <c r="B152" s="729" t="s">
        <v>476</v>
      </c>
      <c r="C152" s="739" t="s">
        <v>1225</v>
      </c>
      <c r="D152" s="739">
        <v>36440</v>
      </c>
      <c r="E152" s="739">
        <v>47434</v>
      </c>
      <c r="F152" s="740" t="s">
        <v>1226</v>
      </c>
      <c r="G152" s="755" t="s">
        <v>139</v>
      </c>
      <c r="H152" s="755" t="s">
        <v>137</v>
      </c>
      <c r="I152" s="765">
        <v>-44.82</v>
      </c>
      <c r="J152" s="765" t="s">
        <v>1219</v>
      </c>
      <c r="K152" s="776" t="s">
        <v>125</v>
      </c>
      <c r="L152" s="746">
        <v>4.6300000000000001E-2</v>
      </c>
      <c r="M152" s="746" t="s">
        <v>129</v>
      </c>
      <c r="N152" s="745" t="s">
        <v>126</v>
      </c>
      <c r="O152" s="777">
        <v>3.8999999999999998E-3</v>
      </c>
      <c r="P152" s="777" t="s">
        <v>131</v>
      </c>
      <c r="Q152" s="777" t="s">
        <v>1066</v>
      </c>
      <c r="T152" s="779">
        <v>0</v>
      </c>
      <c r="U152" s="779">
        <v>0</v>
      </c>
      <c r="V152" s="779">
        <v>0</v>
      </c>
      <c r="W152" s="779">
        <v>0</v>
      </c>
      <c r="X152" s="779">
        <v>0</v>
      </c>
      <c r="Y152" s="779">
        <v>0</v>
      </c>
      <c r="Z152" s="779">
        <v>0</v>
      </c>
      <c r="AA152" s="779">
        <v>0</v>
      </c>
      <c r="AB152" s="779">
        <v>0</v>
      </c>
      <c r="AC152" s="779">
        <v>0</v>
      </c>
    </row>
    <row r="153" spans="2:29" outlineLevel="1">
      <c r="B153" s="729" t="s">
        <v>477</v>
      </c>
      <c r="C153" s="739" t="s">
        <v>1227</v>
      </c>
      <c r="D153" s="739">
        <v>39436</v>
      </c>
      <c r="E153" s="739">
        <v>44936</v>
      </c>
      <c r="F153" s="740" t="s">
        <v>1228</v>
      </c>
      <c r="G153" s="755" t="s">
        <v>1064</v>
      </c>
      <c r="H153" s="755" t="s">
        <v>137</v>
      </c>
      <c r="I153" s="765">
        <v>-13.324450369999999</v>
      </c>
      <c r="J153" s="765" t="s">
        <v>1219</v>
      </c>
      <c r="K153" s="776" t="s">
        <v>125</v>
      </c>
      <c r="L153" s="746">
        <v>2.5399999999999999E-2</v>
      </c>
      <c r="M153" s="746" t="s">
        <v>129</v>
      </c>
      <c r="N153" s="745" t="s">
        <v>126</v>
      </c>
      <c r="O153" s="777">
        <v>7.0000000000000001E-3</v>
      </c>
      <c r="P153" s="777" t="s">
        <v>131</v>
      </c>
      <c r="Q153" s="777" t="s">
        <v>1065</v>
      </c>
      <c r="T153" s="779">
        <v>0</v>
      </c>
      <c r="U153" s="779">
        <v>0</v>
      </c>
      <c r="V153" s="779">
        <v>0</v>
      </c>
      <c r="W153" s="779">
        <v>0</v>
      </c>
      <c r="X153" s="779">
        <v>0</v>
      </c>
      <c r="Y153" s="779">
        <v>0</v>
      </c>
      <c r="Z153" s="779">
        <v>0</v>
      </c>
      <c r="AA153" s="779">
        <v>0</v>
      </c>
      <c r="AB153" s="779">
        <v>0</v>
      </c>
      <c r="AC153" s="779">
        <v>0</v>
      </c>
    </row>
    <row r="154" spans="2:29" outlineLevel="1">
      <c r="B154" s="729" t="s">
        <v>988</v>
      </c>
      <c r="C154" s="739" t="s">
        <v>1229</v>
      </c>
      <c r="D154" s="739">
        <v>36398</v>
      </c>
      <c r="E154" s="739">
        <v>44504</v>
      </c>
      <c r="F154" s="740" t="s">
        <v>1230</v>
      </c>
      <c r="G154" s="755" t="s">
        <v>139</v>
      </c>
      <c r="H154" s="755" t="s">
        <v>137</v>
      </c>
      <c r="I154" s="765">
        <v>-265.76258995000001</v>
      </c>
      <c r="J154" s="765" t="s">
        <v>1231</v>
      </c>
      <c r="K154" s="776" t="s">
        <v>125</v>
      </c>
      <c r="L154" s="746">
        <v>8.3786264999999999E-2</v>
      </c>
      <c r="M154" s="746" t="s">
        <v>129</v>
      </c>
      <c r="N154" s="745" t="s">
        <v>125</v>
      </c>
      <c r="O154" s="777">
        <v>0.12959459500000001</v>
      </c>
      <c r="P154" s="777" t="s">
        <v>129</v>
      </c>
      <c r="Q154" s="777" t="s">
        <v>1068</v>
      </c>
      <c r="T154" s="779">
        <v>0</v>
      </c>
      <c r="U154" s="779">
        <v>0</v>
      </c>
      <c r="V154" s="779">
        <v>0</v>
      </c>
      <c r="W154" s="779">
        <v>0</v>
      </c>
      <c r="X154" s="779">
        <v>0</v>
      </c>
      <c r="Y154" s="779">
        <v>0</v>
      </c>
      <c r="Z154" s="779">
        <v>0</v>
      </c>
      <c r="AA154" s="779">
        <v>0</v>
      </c>
      <c r="AB154" s="779">
        <v>0</v>
      </c>
      <c r="AC154" s="779">
        <v>0</v>
      </c>
    </row>
    <row r="155" spans="2:29" outlineLevel="1">
      <c r="B155" s="729" t="s">
        <v>989</v>
      </c>
      <c r="C155" s="739" t="s">
        <v>1232</v>
      </c>
      <c r="D155" s="739">
        <v>37337</v>
      </c>
      <c r="E155" s="739">
        <v>44504</v>
      </c>
      <c r="F155" s="740" t="s">
        <v>1233</v>
      </c>
      <c r="G155" s="755" t="s">
        <v>137</v>
      </c>
      <c r="H155" s="755" t="s">
        <v>139</v>
      </c>
      <c r="I155" s="765">
        <v>-18.723539199999998</v>
      </c>
      <c r="J155" s="765" t="s">
        <v>1231</v>
      </c>
      <c r="K155" s="776" t="s">
        <v>125</v>
      </c>
      <c r="L155" s="746">
        <v>0.12959459500000001</v>
      </c>
      <c r="M155" s="746" t="s">
        <v>129</v>
      </c>
      <c r="N155" s="745" t="s">
        <v>125</v>
      </c>
      <c r="O155" s="777">
        <v>8.3786264999999999E-2</v>
      </c>
      <c r="P155" s="777" t="s">
        <v>129</v>
      </c>
      <c r="Q155" s="777" t="s">
        <v>1069</v>
      </c>
      <c r="T155" s="779">
        <v>0</v>
      </c>
      <c r="U155" s="779">
        <v>0</v>
      </c>
      <c r="V155" s="779">
        <v>0</v>
      </c>
      <c r="W155" s="779">
        <v>0</v>
      </c>
      <c r="X155" s="779">
        <v>0</v>
      </c>
      <c r="Y155" s="779">
        <v>0</v>
      </c>
      <c r="Z155" s="779">
        <v>0</v>
      </c>
      <c r="AA155" s="779">
        <v>0</v>
      </c>
      <c r="AB155" s="779">
        <v>0</v>
      </c>
      <c r="AC155" s="779">
        <v>0</v>
      </c>
    </row>
    <row r="156" spans="2:29" outlineLevel="1">
      <c r="B156" s="729" t="s">
        <v>990</v>
      </c>
      <c r="C156" s="739" t="s">
        <v>1234</v>
      </c>
      <c r="D156" s="739">
        <v>44363</v>
      </c>
      <c r="E156" s="739">
        <v>46742</v>
      </c>
      <c r="F156" s="740" t="s">
        <v>1235</v>
      </c>
      <c r="G156" s="755" t="s">
        <v>140</v>
      </c>
      <c r="H156" s="755" t="s">
        <v>137</v>
      </c>
      <c r="I156" s="765">
        <v>-24.005761379999999</v>
      </c>
      <c r="J156" s="765" t="s">
        <v>1219</v>
      </c>
      <c r="K156" s="776" t="s">
        <v>125</v>
      </c>
      <c r="L156" s="746">
        <v>3.0499999999999999E-2</v>
      </c>
      <c r="M156" s="746" t="s">
        <v>129</v>
      </c>
      <c r="N156" s="745" t="s">
        <v>126</v>
      </c>
      <c r="O156" s="777">
        <v>1.2288E-2</v>
      </c>
      <c r="P156" s="777" t="s">
        <v>1063</v>
      </c>
      <c r="Q156" s="777" t="s">
        <v>1065</v>
      </c>
      <c r="T156" s="779">
        <v>-4.7</v>
      </c>
      <c r="U156" s="779">
        <v>-4.4672236400000003</v>
      </c>
      <c r="V156" s="779">
        <v>-4.4422553900000006</v>
      </c>
      <c r="W156" s="779">
        <v>-4.3345943600000005</v>
      </c>
      <c r="X156" s="779">
        <v>-4.1633458100000009</v>
      </c>
      <c r="Y156" s="779">
        <v>-3.9543980900000011</v>
      </c>
      <c r="Z156" s="779">
        <v>0</v>
      </c>
      <c r="AA156" s="779">
        <v>0</v>
      </c>
      <c r="AB156" s="779">
        <v>0</v>
      </c>
      <c r="AC156" s="779">
        <v>0</v>
      </c>
    </row>
    <row r="157" spans="2:29" outlineLevel="1">
      <c r="B157" s="729" t="s">
        <v>991</v>
      </c>
      <c r="C157" s="739" t="s">
        <v>1236</v>
      </c>
      <c r="D157" s="739">
        <v>44363</v>
      </c>
      <c r="E157" s="739">
        <v>44936</v>
      </c>
      <c r="F157" s="740" t="s">
        <v>1237</v>
      </c>
      <c r="G157" s="755" t="s">
        <v>1064</v>
      </c>
      <c r="H157" s="755" t="s">
        <v>137</v>
      </c>
      <c r="I157" s="765">
        <v>-13.324450369999999</v>
      </c>
      <c r="J157" s="765" t="s">
        <v>1219</v>
      </c>
      <c r="K157" s="776" t="s">
        <v>125</v>
      </c>
      <c r="L157" s="746">
        <v>2.5399999999999999E-2</v>
      </c>
      <c r="M157" s="746" t="s">
        <v>129</v>
      </c>
      <c r="N157" s="745" t="s">
        <v>126</v>
      </c>
      <c r="O157" s="777">
        <v>8.4370000000000001E-3</v>
      </c>
      <c r="P157" s="777" t="s">
        <v>1063</v>
      </c>
      <c r="Q157" s="777" t="s">
        <v>1065</v>
      </c>
      <c r="T157" s="779">
        <v>-5.8</v>
      </c>
      <c r="U157" s="779">
        <v>0</v>
      </c>
      <c r="V157" s="779">
        <v>0</v>
      </c>
      <c r="W157" s="779">
        <v>0</v>
      </c>
      <c r="X157" s="779">
        <v>0</v>
      </c>
      <c r="Y157" s="779">
        <v>0</v>
      </c>
      <c r="Z157" s="779">
        <v>0</v>
      </c>
      <c r="AA157" s="779">
        <v>0</v>
      </c>
      <c r="AB157" s="779">
        <v>0</v>
      </c>
      <c r="AC157" s="779">
        <v>0</v>
      </c>
    </row>
    <row r="158" spans="2:29" outlineLevel="1">
      <c r="B158" s="729" t="s">
        <v>992</v>
      </c>
      <c r="C158" s="739" t="s">
        <v>1238</v>
      </c>
      <c r="D158" s="739">
        <v>44397</v>
      </c>
      <c r="E158" s="739">
        <v>47200</v>
      </c>
      <c r="F158" s="740" t="s">
        <v>1239</v>
      </c>
      <c r="G158" s="755" t="s">
        <v>139</v>
      </c>
      <c r="H158" s="755" t="s">
        <v>137</v>
      </c>
      <c r="I158" s="765">
        <v>-52.207999999999998</v>
      </c>
      <c r="J158" s="765" t="s">
        <v>1240</v>
      </c>
      <c r="K158" s="776" t="s">
        <v>125</v>
      </c>
      <c r="L158" s="746">
        <v>4.3099999999999999E-2</v>
      </c>
      <c r="M158" s="746" t="s">
        <v>129</v>
      </c>
      <c r="N158" s="745" t="s">
        <v>126</v>
      </c>
      <c r="O158" s="777">
        <v>4.1720000000000004E-3</v>
      </c>
      <c r="P158" s="777" t="s">
        <v>1063</v>
      </c>
      <c r="Q158" s="777" t="s">
        <v>1066</v>
      </c>
      <c r="T158" s="779">
        <v>-27.6</v>
      </c>
      <c r="U158" s="779">
        <v>-25.805668710000003</v>
      </c>
      <c r="V158" s="779">
        <v>-24.468624860000002</v>
      </c>
      <c r="W158" s="779">
        <v>-22.920136740000004</v>
      </c>
      <c r="X158" s="779">
        <v>-21.233551730000002</v>
      </c>
      <c r="Y158" s="779">
        <v>-19.472293540000003</v>
      </c>
      <c r="Z158" s="779">
        <v>-17.635558760000002</v>
      </c>
      <c r="AA158" s="779">
        <v>0</v>
      </c>
      <c r="AB158" s="779">
        <v>0</v>
      </c>
      <c r="AC158" s="779">
        <v>0</v>
      </c>
    </row>
    <row r="159" spans="2:29" outlineLevel="1">
      <c r="B159" s="729" t="s">
        <v>993</v>
      </c>
      <c r="C159" s="739" t="s">
        <v>1241</v>
      </c>
      <c r="D159" s="739">
        <v>44397</v>
      </c>
      <c r="E159" s="739">
        <v>47200</v>
      </c>
      <c r="F159" s="740" t="s">
        <v>1242</v>
      </c>
      <c r="G159" s="755" t="s">
        <v>1064</v>
      </c>
      <c r="H159" s="755" t="s">
        <v>137</v>
      </c>
      <c r="I159" s="765">
        <v>52.207999999999998</v>
      </c>
      <c r="J159" s="765" t="s">
        <v>1219</v>
      </c>
      <c r="K159" s="776" t="s">
        <v>125</v>
      </c>
      <c r="L159" s="746">
        <v>0</v>
      </c>
      <c r="M159" s="746" t="s">
        <v>129</v>
      </c>
      <c r="N159" s="745" t="s">
        <v>125</v>
      </c>
      <c r="O159" s="777">
        <v>0</v>
      </c>
      <c r="P159" s="777" t="s">
        <v>129</v>
      </c>
      <c r="Q159" s="777" t="s">
        <v>1066</v>
      </c>
      <c r="T159" s="779">
        <v>0</v>
      </c>
      <c r="U159" s="779">
        <v>0</v>
      </c>
      <c r="V159" s="779">
        <v>0</v>
      </c>
      <c r="W159" s="779">
        <v>0</v>
      </c>
      <c r="X159" s="779">
        <v>0</v>
      </c>
      <c r="Y159" s="779">
        <v>0</v>
      </c>
      <c r="Z159" s="779">
        <v>0</v>
      </c>
      <c r="AA159" s="779">
        <v>0</v>
      </c>
      <c r="AB159" s="779">
        <v>0</v>
      </c>
      <c r="AC159" s="779">
        <v>0</v>
      </c>
    </row>
    <row r="160" spans="2:29" outlineLevel="1">
      <c r="B160" s="729" t="s">
        <v>994</v>
      </c>
      <c r="C160" s="739" t="s">
        <v>1243</v>
      </c>
      <c r="D160" s="739">
        <v>44397</v>
      </c>
      <c r="E160" s="739">
        <v>47200</v>
      </c>
      <c r="F160" s="740" t="s">
        <v>1244</v>
      </c>
      <c r="G160" s="755" t="s">
        <v>137</v>
      </c>
      <c r="H160" s="755" t="s">
        <v>139</v>
      </c>
      <c r="I160" s="765">
        <v>85.836890949999997</v>
      </c>
      <c r="J160" s="765" t="s">
        <v>1219</v>
      </c>
      <c r="K160" s="776" t="s">
        <v>125</v>
      </c>
      <c r="L160" s="746">
        <v>0</v>
      </c>
      <c r="M160" s="746" t="s">
        <v>129</v>
      </c>
      <c r="N160" s="745" t="s">
        <v>125</v>
      </c>
      <c r="O160" s="777">
        <v>0</v>
      </c>
      <c r="P160" s="777" t="s">
        <v>129</v>
      </c>
      <c r="Q160" s="777" t="s">
        <v>1066</v>
      </c>
      <c r="T160" s="779">
        <v>0</v>
      </c>
      <c r="U160" s="779">
        <v>0</v>
      </c>
      <c r="V160" s="779">
        <v>0</v>
      </c>
      <c r="W160" s="779">
        <v>0</v>
      </c>
      <c r="X160" s="779">
        <v>0</v>
      </c>
      <c r="Y160" s="779">
        <v>0</v>
      </c>
      <c r="Z160" s="779">
        <v>0</v>
      </c>
      <c r="AA160" s="779">
        <v>0</v>
      </c>
      <c r="AB160" s="779">
        <v>0</v>
      </c>
      <c r="AC160" s="779">
        <v>0</v>
      </c>
    </row>
    <row r="161" spans="2:29" outlineLevel="1">
      <c r="B161" s="729" t="s">
        <v>995</v>
      </c>
      <c r="C161" s="739" t="s">
        <v>1245</v>
      </c>
      <c r="D161" s="739">
        <v>44439</v>
      </c>
      <c r="E161" s="739">
        <v>47434</v>
      </c>
      <c r="F161" s="740" t="s">
        <v>1246</v>
      </c>
      <c r="G161" s="755" t="s">
        <v>139</v>
      </c>
      <c r="H161" s="755" t="s">
        <v>137</v>
      </c>
      <c r="I161" s="765">
        <v>-11.205</v>
      </c>
      <c r="J161" s="765" t="s">
        <v>1219</v>
      </c>
      <c r="K161" s="776" t="s">
        <v>125</v>
      </c>
      <c r="L161" s="746">
        <v>4.6300004999999998E-2</v>
      </c>
      <c r="M161" s="746" t="s">
        <v>129</v>
      </c>
      <c r="N161" s="745" t="s">
        <v>126</v>
      </c>
      <c r="O161" s="777">
        <v>6.535E-3</v>
      </c>
      <c r="P161" s="777" t="s">
        <v>1063</v>
      </c>
      <c r="Q161" s="777" t="s">
        <v>1067</v>
      </c>
      <c r="T161" s="779">
        <v>-5.7</v>
      </c>
      <c r="U161" s="779">
        <v>-5.2941165799999998</v>
      </c>
      <c r="V161" s="779">
        <v>-4.9794192800000001</v>
      </c>
      <c r="W161" s="779">
        <v>-4.62596103</v>
      </c>
      <c r="X161" s="779">
        <v>-4.2426190799999999</v>
      </c>
      <c r="Y161" s="779">
        <v>-3.8422303099999997</v>
      </c>
      <c r="Z161" s="779">
        <v>-3.4260461999999996</v>
      </c>
      <c r="AA161" s="779">
        <v>-2.9984497499999998</v>
      </c>
      <c r="AB161" s="779">
        <v>0</v>
      </c>
      <c r="AC161" s="779">
        <v>0</v>
      </c>
    </row>
    <row r="162" spans="2:29" outlineLevel="1">
      <c r="B162" s="729" t="s">
        <v>996</v>
      </c>
      <c r="C162" s="739" t="s">
        <v>1247</v>
      </c>
      <c r="D162" s="739">
        <v>44439</v>
      </c>
      <c r="E162" s="739">
        <v>47434</v>
      </c>
      <c r="F162" s="740" t="s">
        <v>1248</v>
      </c>
      <c r="G162" s="755" t="s">
        <v>137</v>
      </c>
      <c r="H162" s="755" t="s">
        <v>139</v>
      </c>
      <c r="I162" s="765">
        <v>18.54427445</v>
      </c>
      <c r="J162" s="765" t="s">
        <v>1219</v>
      </c>
      <c r="K162" s="776" t="s">
        <v>125</v>
      </c>
      <c r="L162" s="746">
        <v>0</v>
      </c>
      <c r="M162" s="746" t="s">
        <v>129</v>
      </c>
      <c r="N162" s="745" t="s">
        <v>125</v>
      </c>
      <c r="O162" s="777">
        <v>0</v>
      </c>
      <c r="P162" s="777" t="s">
        <v>129</v>
      </c>
      <c r="Q162" s="777" t="s">
        <v>1067</v>
      </c>
      <c r="T162" s="779">
        <v>0</v>
      </c>
      <c r="U162" s="779">
        <v>0</v>
      </c>
      <c r="V162" s="779">
        <v>0</v>
      </c>
      <c r="W162" s="779">
        <v>0</v>
      </c>
      <c r="X162" s="779">
        <v>0</v>
      </c>
      <c r="Y162" s="779">
        <v>0</v>
      </c>
      <c r="Z162" s="779">
        <v>0</v>
      </c>
      <c r="AA162" s="779">
        <v>0</v>
      </c>
      <c r="AB162" s="779">
        <v>0</v>
      </c>
      <c r="AC162" s="779">
        <v>0</v>
      </c>
    </row>
    <row r="163" spans="2:29" outlineLevel="1">
      <c r="B163" s="729" t="s">
        <v>997</v>
      </c>
      <c r="C163" s="739" t="s">
        <v>1249</v>
      </c>
      <c r="D163" s="739">
        <v>44439</v>
      </c>
      <c r="E163" s="739">
        <v>47434</v>
      </c>
      <c r="F163" s="740" t="s">
        <v>1250</v>
      </c>
      <c r="G163" s="755" t="s">
        <v>1064</v>
      </c>
      <c r="H163" s="755" t="s">
        <v>137</v>
      </c>
      <c r="I163" s="765">
        <v>11.205</v>
      </c>
      <c r="J163" s="765" t="s">
        <v>1219</v>
      </c>
      <c r="K163" s="776" t="s">
        <v>125</v>
      </c>
      <c r="L163" s="746">
        <v>0</v>
      </c>
      <c r="M163" s="746" t="s">
        <v>129</v>
      </c>
      <c r="N163" s="745" t="s">
        <v>125</v>
      </c>
      <c r="O163" s="777">
        <v>0</v>
      </c>
      <c r="P163" s="777" t="s">
        <v>129</v>
      </c>
      <c r="Q163" s="777" t="s">
        <v>1067</v>
      </c>
      <c r="T163" s="779">
        <v>0</v>
      </c>
      <c r="U163" s="779">
        <v>0</v>
      </c>
      <c r="V163" s="779">
        <v>0</v>
      </c>
      <c r="W163" s="779">
        <v>0</v>
      </c>
      <c r="X163" s="779">
        <v>0</v>
      </c>
      <c r="Y163" s="779">
        <v>0</v>
      </c>
      <c r="Z163" s="779">
        <v>0</v>
      </c>
      <c r="AA163" s="779">
        <v>0</v>
      </c>
      <c r="AB163" s="779">
        <v>0</v>
      </c>
      <c r="AC163" s="779">
        <v>0</v>
      </c>
    </row>
    <row r="164" spans="2:29" outlineLevel="1">
      <c r="B164" s="729" t="s">
        <v>998</v>
      </c>
      <c r="C164" s="739" t="s">
        <v>1251</v>
      </c>
      <c r="D164" s="739">
        <v>44439</v>
      </c>
      <c r="E164" s="739">
        <v>47434</v>
      </c>
      <c r="F164" s="740" t="s">
        <v>1252</v>
      </c>
      <c r="G164" s="755" t="s">
        <v>139</v>
      </c>
      <c r="H164" s="755" t="s">
        <v>137</v>
      </c>
      <c r="I164" s="765">
        <v>-44.82</v>
      </c>
      <c r="J164" s="765" t="s">
        <v>1219</v>
      </c>
      <c r="K164" s="776" t="s">
        <v>125</v>
      </c>
      <c r="L164" s="746">
        <v>4.6300000000000001E-2</v>
      </c>
      <c r="M164" s="746" t="s">
        <v>129</v>
      </c>
      <c r="N164" s="745" t="s">
        <v>126</v>
      </c>
      <c r="O164" s="777">
        <v>6.5357000000000002E-3</v>
      </c>
      <c r="P164" s="777" t="s">
        <v>1063</v>
      </c>
      <c r="Q164" s="777" t="s">
        <v>1066</v>
      </c>
      <c r="T164" s="779">
        <v>-22.7</v>
      </c>
      <c r="U164" s="779">
        <v>-21.076497669999998</v>
      </c>
      <c r="V164" s="779">
        <v>-19.817739969999998</v>
      </c>
      <c r="W164" s="779">
        <v>-18.40393838</v>
      </c>
      <c r="X164" s="779">
        <v>-16.87060198</v>
      </c>
      <c r="Y164" s="779">
        <v>-15.26907827</v>
      </c>
      <c r="Z164" s="779">
        <v>-13.60437331</v>
      </c>
      <c r="AA164" s="779">
        <v>-11.89401891</v>
      </c>
      <c r="AB164" s="779">
        <v>0</v>
      </c>
      <c r="AC164" s="779">
        <v>0</v>
      </c>
    </row>
    <row r="165" spans="2:29" outlineLevel="1">
      <c r="B165" s="729" t="s">
        <v>999</v>
      </c>
      <c r="C165" s="739" t="s">
        <v>1253</v>
      </c>
      <c r="D165" s="739">
        <v>44439</v>
      </c>
      <c r="E165" s="739">
        <v>47434</v>
      </c>
      <c r="F165" s="740" t="s">
        <v>1254</v>
      </c>
      <c r="G165" s="755" t="s">
        <v>1064</v>
      </c>
      <c r="H165" s="755" t="s">
        <v>137</v>
      </c>
      <c r="I165" s="765">
        <v>44.82</v>
      </c>
      <c r="J165" s="765" t="s">
        <v>1219</v>
      </c>
      <c r="K165" s="776" t="s">
        <v>125</v>
      </c>
      <c r="L165" s="746">
        <v>0</v>
      </c>
      <c r="M165" s="746" t="s">
        <v>129</v>
      </c>
      <c r="N165" s="745" t="s">
        <v>125</v>
      </c>
      <c r="O165" s="777">
        <v>0</v>
      </c>
      <c r="P165" s="777" t="s">
        <v>129</v>
      </c>
      <c r="Q165" s="777" t="s">
        <v>1066</v>
      </c>
      <c r="T165" s="779">
        <v>0</v>
      </c>
      <c r="U165" s="779">
        <v>0</v>
      </c>
      <c r="V165" s="779">
        <v>0</v>
      </c>
      <c r="W165" s="779">
        <v>0</v>
      </c>
      <c r="X165" s="779">
        <v>0</v>
      </c>
      <c r="Y165" s="779">
        <v>0</v>
      </c>
      <c r="Z165" s="779">
        <v>0</v>
      </c>
      <c r="AA165" s="779">
        <v>0</v>
      </c>
      <c r="AB165" s="779">
        <v>0</v>
      </c>
      <c r="AC165" s="779">
        <v>0</v>
      </c>
    </row>
    <row r="166" spans="2:29" outlineLevel="1">
      <c r="B166" s="729" t="s">
        <v>1000</v>
      </c>
      <c r="C166" s="739" t="s">
        <v>1255</v>
      </c>
      <c r="D166" s="739">
        <v>44439</v>
      </c>
      <c r="E166" s="739">
        <v>47434</v>
      </c>
      <c r="F166" s="740" t="s">
        <v>1256</v>
      </c>
      <c r="G166" s="755" t="s">
        <v>137</v>
      </c>
      <c r="H166" s="755" t="s">
        <v>139</v>
      </c>
      <c r="I166" s="765">
        <v>74.177105830000002</v>
      </c>
      <c r="J166" s="765" t="s">
        <v>1219</v>
      </c>
      <c r="K166" s="776" t="s">
        <v>125</v>
      </c>
      <c r="L166" s="746">
        <v>0</v>
      </c>
      <c r="M166" s="746" t="s">
        <v>129</v>
      </c>
      <c r="N166" s="745" t="s">
        <v>125</v>
      </c>
      <c r="O166" s="777">
        <v>0</v>
      </c>
      <c r="P166" s="777" t="s">
        <v>129</v>
      </c>
      <c r="Q166" s="777" t="s">
        <v>1066</v>
      </c>
      <c r="T166" s="779">
        <v>0</v>
      </c>
      <c r="U166" s="779">
        <v>0</v>
      </c>
      <c r="V166" s="779">
        <v>0</v>
      </c>
      <c r="W166" s="779">
        <v>0</v>
      </c>
      <c r="X166" s="779">
        <v>0</v>
      </c>
      <c r="Y166" s="779">
        <v>0</v>
      </c>
      <c r="Z166" s="779">
        <v>0</v>
      </c>
      <c r="AA166" s="779">
        <v>0</v>
      </c>
      <c r="AB166" s="779">
        <v>0</v>
      </c>
      <c r="AC166" s="779">
        <v>0</v>
      </c>
    </row>
    <row r="167" spans="2:29" outlineLevel="1">
      <c r="B167" s="729" t="s">
        <v>478</v>
      </c>
      <c r="C167" s="1085" t="s">
        <v>479</v>
      </c>
      <c r="D167" s="1085"/>
      <c r="E167" s="1085"/>
      <c r="F167" s="1085"/>
      <c r="G167" s="1085"/>
      <c r="H167" s="1085"/>
      <c r="I167" s="1085"/>
      <c r="J167" s="1085"/>
      <c r="K167" s="1085"/>
      <c r="L167" s="1085"/>
      <c r="M167" s="1085"/>
      <c r="N167" s="1085"/>
      <c r="O167" s="1085"/>
      <c r="P167" s="1085"/>
      <c r="Q167" s="1085"/>
      <c r="T167" s="779">
        <v>0</v>
      </c>
      <c r="U167" s="779">
        <v>0</v>
      </c>
      <c r="V167" s="779">
        <v>0</v>
      </c>
      <c r="W167" s="779">
        <v>0</v>
      </c>
      <c r="X167" s="779">
        <v>0</v>
      </c>
      <c r="Y167" s="779">
        <v>0</v>
      </c>
      <c r="Z167" s="779">
        <v>0</v>
      </c>
      <c r="AA167" s="779">
        <v>0</v>
      </c>
      <c r="AB167" s="779">
        <v>0</v>
      </c>
      <c r="AC167" s="779">
        <v>0</v>
      </c>
    </row>
    <row r="168" spans="2:29">
      <c r="F168" s="117"/>
      <c r="G168" s="117"/>
      <c r="H168" s="117"/>
      <c r="I168" s="117"/>
      <c r="S168" s="537" t="s">
        <v>480</v>
      </c>
      <c r="T168" s="780">
        <f t="shared" ref="T168:AC168" si="7">SUM(T149:T167)</f>
        <v>-66.5</v>
      </c>
      <c r="U168" s="780">
        <f t="shared" si="7"/>
        <v>-56.643506599999995</v>
      </c>
      <c r="V168" s="780">
        <f t="shared" si="7"/>
        <v>-53.708039499999998</v>
      </c>
      <c r="W168" s="780">
        <f t="shared" si="7"/>
        <v>-50.28463051</v>
      </c>
      <c r="X168" s="780">
        <f t="shared" si="7"/>
        <v>-46.510118600000006</v>
      </c>
      <c r="Y168" s="780">
        <f t="shared" si="7"/>
        <v>-42.538000210000007</v>
      </c>
      <c r="Z168" s="780">
        <f t="shared" si="7"/>
        <v>-34.665978269999997</v>
      </c>
      <c r="AA168" s="780">
        <f t="shared" si="7"/>
        <v>-14.892468659999999</v>
      </c>
      <c r="AB168" s="780">
        <f t="shared" si="7"/>
        <v>0</v>
      </c>
      <c r="AC168" s="780">
        <f t="shared" si="7"/>
        <v>0</v>
      </c>
    </row>
    <row r="169" spans="2:29" outlineLevel="1">
      <c r="B169" s="731" t="s">
        <v>397</v>
      </c>
      <c r="C169" s="1088" t="s">
        <v>705</v>
      </c>
      <c r="D169" s="1088"/>
      <c r="E169" s="1088"/>
      <c r="F169" s="1088"/>
      <c r="G169" s="1088"/>
      <c r="H169" s="1088"/>
      <c r="I169" s="1088"/>
      <c r="J169" s="1088"/>
      <c r="K169" s="1088"/>
      <c r="L169" s="1088"/>
      <c r="M169" s="1088"/>
      <c r="N169" s="1088"/>
      <c r="O169" s="1088"/>
      <c r="P169" s="1088"/>
      <c r="Q169" s="1088"/>
      <c r="S169" s="101"/>
      <c r="T169" s="781"/>
      <c r="U169" s="781"/>
      <c r="V169" s="781"/>
      <c r="W169" s="781"/>
      <c r="X169" s="781"/>
      <c r="Y169" s="781"/>
      <c r="Z169" s="781"/>
      <c r="AA169" s="781"/>
      <c r="AB169" s="782"/>
      <c r="AC169" s="781"/>
    </row>
    <row r="170" spans="2:29" outlineLevel="1">
      <c r="B170" s="729" t="s">
        <v>473</v>
      </c>
      <c r="C170" s="1084" t="s">
        <v>1257</v>
      </c>
      <c r="D170" s="1084"/>
      <c r="E170" s="1084"/>
      <c r="F170" s="1084"/>
      <c r="G170" s="1084"/>
      <c r="H170" s="1084"/>
      <c r="I170" s="1084"/>
      <c r="J170" s="1084"/>
      <c r="K170" s="1084"/>
      <c r="L170" s="1084"/>
      <c r="M170" s="1084"/>
      <c r="N170" s="1084"/>
      <c r="O170" s="1084"/>
      <c r="P170" s="1084"/>
      <c r="Q170" s="1084"/>
      <c r="S170" s="119"/>
      <c r="T170" s="781"/>
      <c r="U170" s="781"/>
      <c r="V170" s="781"/>
      <c r="W170" s="781"/>
      <c r="X170" s="781"/>
      <c r="Y170" s="781"/>
      <c r="Z170" s="781"/>
      <c r="AA170" s="781"/>
      <c r="AB170" s="782"/>
      <c r="AC170" s="781"/>
    </row>
    <row r="171" spans="2:29" outlineLevel="1">
      <c r="B171" s="729" t="s">
        <v>474</v>
      </c>
      <c r="C171" s="1084" t="s">
        <v>1258</v>
      </c>
      <c r="D171" s="1084"/>
      <c r="E171" s="1084"/>
      <c r="F171" s="1084"/>
      <c r="G171" s="1084"/>
      <c r="H171" s="1084"/>
      <c r="I171" s="1084"/>
      <c r="J171" s="1084"/>
      <c r="K171" s="1084"/>
      <c r="L171" s="1084"/>
      <c r="M171" s="1084"/>
      <c r="N171" s="1084"/>
      <c r="O171" s="1084"/>
      <c r="P171" s="1084"/>
      <c r="Q171" s="1084"/>
      <c r="S171" s="119"/>
      <c r="T171" s="781"/>
      <c r="U171" s="781"/>
      <c r="V171" s="781"/>
      <c r="W171" s="781"/>
      <c r="X171" s="781"/>
      <c r="Y171" s="781"/>
      <c r="Z171" s="781"/>
      <c r="AA171" s="781"/>
      <c r="AB171" s="782"/>
      <c r="AC171" s="781"/>
    </row>
    <row r="172" spans="2:29" outlineLevel="1">
      <c r="B172" s="729" t="s">
        <v>475</v>
      </c>
      <c r="C172" s="1084" t="s">
        <v>1259</v>
      </c>
      <c r="D172" s="1084"/>
      <c r="E172" s="1084"/>
      <c r="F172" s="1084"/>
      <c r="G172" s="1084"/>
      <c r="H172" s="1084"/>
      <c r="I172" s="1084"/>
      <c r="J172" s="1084"/>
      <c r="K172" s="1084"/>
      <c r="L172" s="1084"/>
      <c r="M172" s="1084"/>
      <c r="N172" s="1084"/>
      <c r="O172" s="1084"/>
      <c r="P172" s="1084"/>
      <c r="Q172" s="1084"/>
      <c r="S172" s="119"/>
      <c r="T172" s="781"/>
      <c r="U172" s="781"/>
      <c r="V172" s="781"/>
      <c r="W172" s="781"/>
      <c r="X172" s="781"/>
      <c r="Y172" s="781"/>
      <c r="Z172" s="781"/>
      <c r="AA172" s="781"/>
      <c r="AB172" s="782"/>
      <c r="AC172" s="781"/>
    </row>
    <row r="173" spans="2:29" outlineLevel="1">
      <c r="B173" s="729" t="s">
        <v>476</v>
      </c>
      <c r="C173" s="1084" t="s">
        <v>1259</v>
      </c>
      <c r="D173" s="1084"/>
      <c r="E173" s="1084"/>
      <c r="F173" s="1084"/>
      <c r="G173" s="1084"/>
      <c r="H173" s="1084"/>
      <c r="I173" s="1084"/>
      <c r="J173" s="1084"/>
      <c r="K173" s="1084"/>
      <c r="L173" s="1084"/>
      <c r="M173" s="1084"/>
      <c r="N173" s="1084"/>
      <c r="O173" s="1084"/>
      <c r="P173" s="1084"/>
      <c r="Q173" s="1084"/>
      <c r="S173" s="119"/>
      <c r="T173" s="781"/>
      <c r="U173" s="781"/>
      <c r="V173" s="781"/>
      <c r="W173" s="781"/>
      <c r="X173" s="781"/>
      <c r="Y173" s="781"/>
      <c r="Z173" s="781"/>
      <c r="AA173" s="781"/>
      <c r="AB173" s="782"/>
      <c r="AC173" s="781"/>
    </row>
    <row r="174" spans="2:29" outlineLevel="1">
      <c r="B174" s="729" t="s">
        <v>477</v>
      </c>
      <c r="C174" s="1084" t="s">
        <v>1260</v>
      </c>
      <c r="D174" s="1084"/>
      <c r="E174" s="1084"/>
      <c r="F174" s="1084"/>
      <c r="G174" s="1084"/>
      <c r="H174" s="1084"/>
      <c r="I174" s="1084"/>
      <c r="J174" s="1084"/>
      <c r="K174" s="1084"/>
      <c r="L174" s="1084"/>
      <c r="M174" s="1084"/>
      <c r="N174" s="1084"/>
      <c r="O174" s="1084"/>
      <c r="P174" s="1084"/>
      <c r="Q174" s="1084"/>
      <c r="S174" s="119"/>
      <c r="T174" s="781"/>
      <c r="U174" s="781"/>
      <c r="V174" s="781"/>
      <c r="W174" s="781"/>
      <c r="X174" s="781"/>
      <c r="Y174" s="781"/>
      <c r="Z174" s="781"/>
      <c r="AA174" s="781"/>
      <c r="AB174" s="782"/>
      <c r="AC174" s="781"/>
    </row>
    <row r="175" spans="2:29" outlineLevel="1">
      <c r="B175" s="729" t="s">
        <v>988</v>
      </c>
      <c r="C175" s="1084" t="s">
        <v>1261</v>
      </c>
      <c r="D175" s="1084"/>
      <c r="E175" s="1084"/>
      <c r="F175" s="1084"/>
      <c r="G175" s="1084"/>
      <c r="H175" s="1084"/>
      <c r="I175" s="1084"/>
      <c r="J175" s="1084"/>
      <c r="K175" s="1084"/>
      <c r="L175" s="1084"/>
      <c r="M175" s="1084"/>
      <c r="N175" s="1084"/>
      <c r="O175" s="1084"/>
      <c r="P175" s="1084"/>
      <c r="Q175" s="1084"/>
      <c r="S175" s="119"/>
      <c r="T175" s="781"/>
      <c r="U175" s="781"/>
      <c r="V175" s="781"/>
      <c r="W175" s="781"/>
      <c r="X175" s="781"/>
      <c r="Y175" s="781"/>
      <c r="Z175" s="781"/>
      <c r="AA175" s="781"/>
      <c r="AB175" s="782"/>
      <c r="AC175" s="781"/>
    </row>
    <row r="176" spans="2:29" outlineLevel="1">
      <c r="B176" s="729" t="s">
        <v>989</v>
      </c>
      <c r="C176" s="1084" t="s">
        <v>1261</v>
      </c>
      <c r="D176" s="1084"/>
      <c r="E176" s="1084"/>
      <c r="F176" s="1084"/>
      <c r="G176" s="1084"/>
      <c r="H176" s="1084"/>
      <c r="I176" s="1084"/>
      <c r="J176" s="1084"/>
      <c r="K176" s="1084"/>
      <c r="L176" s="1084"/>
      <c r="M176" s="1084"/>
      <c r="N176" s="1084"/>
      <c r="O176" s="1084"/>
      <c r="P176" s="1084"/>
      <c r="Q176" s="1084"/>
      <c r="S176" s="119"/>
      <c r="T176" s="781"/>
      <c r="U176" s="781"/>
      <c r="V176" s="781"/>
      <c r="W176" s="781"/>
      <c r="X176" s="781"/>
      <c r="Y176" s="781"/>
      <c r="Z176" s="781"/>
      <c r="AA176" s="781"/>
      <c r="AB176" s="782"/>
      <c r="AC176" s="781"/>
    </row>
    <row r="177" spans="2:29" outlineLevel="1">
      <c r="B177" s="729" t="s">
        <v>1001</v>
      </c>
      <c r="C177" s="1084" t="s">
        <v>1262</v>
      </c>
      <c r="D177" s="1084"/>
      <c r="E177" s="1084"/>
      <c r="F177" s="1084"/>
      <c r="G177" s="1084"/>
      <c r="H177" s="1084"/>
      <c r="I177" s="1084"/>
      <c r="J177" s="1084"/>
      <c r="K177" s="1084"/>
      <c r="L177" s="1084"/>
      <c r="M177" s="1084"/>
      <c r="N177" s="1084"/>
      <c r="O177" s="1084"/>
      <c r="P177" s="1084"/>
      <c r="Q177" s="1084"/>
      <c r="S177" s="119"/>
      <c r="T177" s="781"/>
      <c r="U177" s="781"/>
      <c r="V177" s="781"/>
      <c r="W177" s="781"/>
      <c r="X177" s="781"/>
      <c r="Y177" s="781"/>
      <c r="Z177" s="781"/>
      <c r="AA177" s="781"/>
      <c r="AB177" s="782"/>
      <c r="AC177" s="781"/>
    </row>
    <row r="178" spans="2:29" outlineLevel="1">
      <c r="B178" s="729" t="s">
        <v>1002</v>
      </c>
      <c r="C178" s="1084" t="s">
        <v>1262</v>
      </c>
      <c r="D178" s="1084"/>
      <c r="E178" s="1084"/>
      <c r="F178" s="1084"/>
      <c r="G178" s="1084"/>
      <c r="H178" s="1084"/>
      <c r="I178" s="1084"/>
      <c r="J178" s="1084"/>
      <c r="K178" s="1084"/>
      <c r="L178" s="1084"/>
      <c r="M178" s="1084"/>
      <c r="N178" s="1084"/>
      <c r="O178" s="1084"/>
      <c r="P178" s="1084"/>
      <c r="Q178" s="1084"/>
      <c r="S178" s="119"/>
      <c r="T178" s="781"/>
      <c r="U178" s="781"/>
      <c r="V178" s="781"/>
      <c r="W178" s="781"/>
      <c r="X178" s="781"/>
      <c r="Y178" s="781"/>
      <c r="Z178" s="781"/>
      <c r="AA178" s="781"/>
      <c r="AB178" s="782"/>
      <c r="AC178" s="781"/>
    </row>
    <row r="179" spans="2:29" outlineLevel="1">
      <c r="B179" s="729" t="s">
        <v>1003</v>
      </c>
      <c r="C179" s="1084" t="s">
        <v>1259</v>
      </c>
      <c r="D179" s="1084"/>
      <c r="E179" s="1084"/>
      <c r="F179" s="1084"/>
      <c r="G179" s="1084"/>
      <c r="H179" s="1084"/>
      <c r="I179" s="1084"/>
      <c r="J179" s="1084"/>
      <c r="K179" s="1084"/>
      <c r="L179" s="1084"/>
      <c r="M179" s="1084"/>
      <c r="N179" s="1084"/>
      <c r="O179" s="1084"/>
      <c r="P179" s="1084"/>
      <c r="Q179" s="1084"/>
      <c r="S179" s="119"/>
      <c r="T179" s="781"/>
      <c r="U179" s="781"/>
      <c r="V179" s="781"/>
      <c r="W179" s="781"/>
      <c r="X179" s="781"/>
      <c r="Y179" s="781"/>
      <c r="Z179" s="781"/>
      <c r="AA179" s="781"/>
      <c r="AB179" s="782"/>
      <c r="AC179" s="781"/>
    </row>
    <row r="180" spans="2:29" outlineLevel="1">
      <c r="B180" s="729" t="s">
        <v>1004</v>
      </c>
      <c r="C180" s="1084" t="s">
        <v>1259</v>
      </c>
      <c r="D180" s="1084"/>
      <c r="E180" s="1084"/>
      <c r="F180" s="1084"/>
      <c r="G180" s="1084"/>
      <c r="H180" s="1084"/>
      <c r="I180" s="1084"/>
      <c r="J180" s="1084"/>
      <c r="K180" s="1084"/>
      <c r="L180" s="1084"/>
      <c r="M180" s="1084"/>
      <c r="N180" s="1084"/>
      <c r="O180" s="1084"/>
      <c r="P180" s="1084"/>
      <c r="Q180" s="1084"/>
      <c r="S180" s="119"/>
      <c r="T180" s="781"/>
      <c r="U180" s="781"/>
      <c r="V180" s="781"/>
      <c r="W180" s="781"/>
      <c r="X180" s="781"/>
      <c r="Y180" s="781"/>
      <c r="Z180" s="781"/>
      <c r="AA180" s="781"/>
      <c r="AB180" s="782"/>
      <c r="AC180" s="781"/>
    </row>
    <row r="181" spans="2:29" outlineLevel="1">
      <c r="B181" s="729" t="s">
        <v>1005</v>
      </c>
      <c r="C181" s="1084" t="s">
        <v>1259</v>
      </c>
      <c r="D181" s="1084"/>
      <c r="E181" s="1084"/>
      <c r="F181" s="1084"/>
      <c r="G181" s="1084"/>
      <c r="H181" s="1084"/>
      <c r="I181" s="1084"/>
      <c r="J181" s="1084"/>
      <c r="K181" s="1084"/>
      <c r="L181" s="1084"/>
      <c r="M181" s="1084"/>
      <c r="N181" s="1084"/>
      <c r="O181" s="1084"/>
      <c r="P181" s="1084"/>
      <c r="Q181" s="1084"/>
      <c r="S181" s="119"/>
      <c r="T181" s="781"/>
      <c r="U181" s="781"/>
      <c r="V181" s="781"/>
      <c r="W181" s="781"/>
      <c r="X181" s="781"/>
      <c r="Y181" s="781"/>
      <c r="Z181" s="781"/>
      <c r="AA181" s="781"/>
      <c r="AB181" s="782"/>
      <c r="AC181" s="781"/>
    </row>
    <row r="182" spans="2:29" outlineLevel="1">
      <c r="B182" s="729" t="s">
        <v>1006</v>
      </c>
      <c r="C182" s="1084" t="s">
        <v>1259</v>
      </c>
      <c r="D182" s="1084"/>
      <c r="E182" s="1084"/>
      <c r="F182" s="1084"/>
      <c r="G182" s="1084"/>
      <c r="H182" s="1084"/>
      <c r="I182" s="1084"/>
      <c r="J182" s="1084"/>
      <c r="K182" s="1084"/>
      <c r="L182" s="1084"/>
      <c r="M182" s="1084"/>
      <c r="N182" s="1084"/>
      <c r="O182" s="1084"/>
      <c r="P182" s="1084"/>
      <c r="Q182" s="1084"/>
      <c r="S182" s="119"/>
      <c r="T182" s="781"/>
      <c r="U182" s="781"/>
      <c r="V182" s="781"/>
      <c r="W182" s="781"/>
      <c r="X182" s="781"/>
      <c r="Y182" s="781"/>
      <c r="Z182" s="781"/>
      <c r="AA182" s="781"/>
      <c r="AB182" s="782"/>
      <c r="AC182" s="781"/>
    </row>
    <row r="183" spans="2:29" outlineLevel="1">
      <c r="B183" s="730" t="s">
        <v>478</v>
      </c>
      <c r="C183" s="1085" t="s">
        <v>479</v>
      </c>
      <c r="D183" s="1085"/>
      <c r="E183" s="1085"/>
      <c r="F183" s="1085"/>
      <c r="G183" s="1085"/>
      <c r="H183" s="1085"/>
      <c r="I183" s="1085"/>
      <c r="J183" s="1085"/>
      <c r="K183" s="1085"/>
      <c r="L183" s="1085"/>
      <c r="M183" s="1085"/>
      <c r="N183" s="1085"/>
      <c r="O183" s="1085"/>
      <c r="P183" s="1085"/>
      <c r="Q183" s="1085"/>
      <c r="S183" s="119"/>
      <c r="T183" s="781"/>
      <c r="U183" s="781"/>
      <c r="V183" s="781"/>
      <c r="W183" s="781"/>
      <c r="X183" s="781"/>
      <c r="Y183" s="781"/>
      <c r="Z183" s="781"/>
      <c r="AA183" s="781"/>
      <c r="AB183" s="782"/>
      <c r="AC183" s="781"/>
    </row>
    <row r="184" spans="2:29">
      <c r="T184" s="781"/>
      <c r="U184" s="781"/>
      <c r="V184" s="781"/>
      <c r="W184" s="781"/>
      <c r="X184" s="781"/>
      <c r="Y184" s="781"/>
      <c r="Z184" s="781"/>
      <c r="AA184" s="781"/>
      <c r="AB184" s="782"/>
      <c r="AC184" s="781"/>
    </row>
    <row r="185" spans="2:29">
      <c r="F185" s="117"/>
      <c r="G185" s="117"/>
      <c r="H185" s="117"/>
      <c r="I185" s="117"/>
      <c r="T185" s="781"/>
      <c r="U185" s="781"/>
      <c r="V185" s="781"/>
      <c r="W185" s="781"/>
      <c r="X185" s="781"/>
      <c r="Y185" s="781"/>
      <c r="Z185" s="781"/>
      <c r="AA185" s="781"/>
      <c r="AB185" s="782"/>
      <c r="AC185" s="781"/>
    </row>
    <row r="186" spans="2:29">
      <c r="B186" s="201" t="s">
        <v>481</v>
      </c>
      <c r="C186" s="201"/>
      <c r="D186" s="118" t="s">
        <v>618</v>
      </c>
      <c r="E186" s="98"/>
      <c r="T186" s="781"/>
      <c r="U186" s="781"/>
      <c r="V186" s="781"/>
      <c r="W186" s="781"/>
      <c r="X186" s="781"/>
      <c r="Y186" s="781"/>
      <c r="Z186" s="781"/>
      <c r="AA186" s="781"/>
      <c r="AB186" s="782"/>
      <c r="AC186" s="781"/>
    </row>
    <row r="187" spans="2:29" outlineLevel="1">
      <c r="J187" s="1066"/>
      <c r="K187" s="1066"/>
      <c r="L187" s="1066"/>
      <c r="M187" s="1066"/>
      <c r="N187" s="1066"/>
      <c r="O187" s="1066"/>
      <c r="P187" s="1066"/>
      <c r="Q187" s="1066"/>
      <c r="R187" s="1067"/>
      <c r="S187" s="360"/>
      <c r="T187" s="781"/>
      <c r="U187" s="781"/>
      <c r="V187" s="781"/>
      <c r="W187" s="781"/>
      <c r="X187" s="781"/>
      <c r="Y187" s="781"/>
      <c r="Z187" s="781"/>
      <c r="AA187" s="781"/>
      <c r="AB187" s="782"/>
      <c r="AC187" s="781"/>
    </row>
    <row r="188" spans="2:29" ht="32.25" customHeight="1" outlineLevel="1">
      <c r="B188" s="726"/>
      <c r="C188" s="723" t="s">
        <v>678</v>
      </c>
      <c r="D188" s="536" t="s">
        <v>469</v>
      </c>
      <c r="E188" s="536" t="s">
        <v>470</v>
      </c>
      <c r="F188" s="1086" t="s">
        <v>471</v>
      </c>
      <c r="G188" s="536" t="s">
        <v>483</v>
      </c>
      <c r="H188" s="536" t="s">
        <v>484</v>
      </c>
      <c r="I188" s="536" t="s">
        <v>485</v>
      </c>
      <c r="J188" s="723" t="s">
        <v>486</v>
      </c>
      <c r="K188" s="536" t="s">
        <v>483</v>
      </c>
      <c r="L188" s="536" t="s">
        <v>483</v>
      </c>
      <c r="M188" s="536" t="s">
        <v>483</v>
      </c>
      <c r="N188" s="536" t="s">
        <v>700</v>
      </c>
      <c r="O188" s="536" t="s">
        <v>700</v>
      </c>
      <c r="P188" s="536" t="s">
        <v>700</v>
      </c>
      <c r="Q188" s="536" t="s">
        <v>694</v>
      </c>
      <c r="R188" s="360"/>
      <c r="S188" s="360"/>
      <c r="T188" s="781"/>
      <c r="U188" s="781"/>
      <c r="V188" s="781"/>
      <c r="W188" s="781"/>
      <c r="X188" s="781"/>
      <c r="Y188" s="781"/>
      <c r="Z188" s="781"/>
      <c r="AA188" s="781"/>
      <c r="AB188" s="782"/>
      <c r="AC188" s="781"/>
    </row>
    <row r="189" spans="2:29" s="256" customFormat="1" ht="53.25" customHeight="1" outlineLevel="1">
      <c r="B189" s="762" t="s">
        <v>397</v>
      </c>
      <c r="C189" s="728"/>
      <c r="D189" s="728" t="s">
        <v>472</v>
      </c>
      <c r="E189" s="728" t="s">
        <v>472</v>
      </c>
      <c r="F189" s="1086"/>
      <c r="G189" s="763" t="s">
        <v>136</v>
      </c>
      <c r="H189" s="763" t="s">
        <v>136</v>
      </c>
      <c r="I189" s="738" t="s">
        <v>398</v>
      </c>
      <c r="J189" s="763" t="s">
        <v>487</v>
      </c>
      <c r="K189" s="763" t="s">
        <v>701</v>
      </c>
      <c r="L189" s="764" t="s">
        <v>702</v>
      </c>
      <c r="M189" s="764" t="s">
        <v>703</v>
      </c>
      <c r="N189" s="763" t="s">
        <v>701</v>
      </c>
      <c r="O189" s="764" t="s">
        <v>704</v>
      </c>
      <c r="P189" s="764" t="s">
        <v>703</v>
      </c>
      <c r="Q189" s="728" t="s">
        <v>152</v>
      </c>
      <c r="R189" s="251"/>
      <c r="S189" s="251"/>
      <c r="T189" s="794" t="s">
        <v>398</v>
      </c>
      <c r="U189" s="794" t="s">
        <v>398</v>
      </c>
      <c r="V189" s="794" t="s">
        <v>398</v>
      </c>
      <c r="W189" s="794" t="s">
        <v>398</v>
      </c>
      <c r="X189" s="794" t="s">
        <v>398</v>
      </c>
      <c r="Y189" s="794" t="s">
        <v>398</v>
      </c>
      <c r="Z189" s="794" t="s">
        <v>398</v>
      </c>
      <c r="AA189" s="794" t="s">
        <v>398</v>
      </c>
      <c r="AB189" s="794" t="s">
        <v>398</v>
      </c>
      <c r="AC189" s="794" t="s">
        <v>398</v>
      </c>
    </row>
    <row r="190" spans="2:29" outlineLevel="1">
      <c r="B190" s="775" t="s">
        <v>490</v>
      </c>
      <c r="C190" s="739" t="s">
        <v>1263</v>
      </c>
      <c r="D190" s="739">
        <v>38810</v>
      </c>
      <c r="E190" s="739">
        <v>45835</v>
      </c>
      <c r="F190" s="739" t="s">
        <v>1264</v>
      </c>
      <c r="G190" s="739" t="s">
        <v>137</v>
      </c>
      <c r="H190" s="739" t="s">
        <v>137</v>
      </c>
      <c r="I190" s="750">
        <v>-20</v>
      </c>
      <c r="J190" s="750" t="s">
        <v>1219</v>
      </c>
      <c r="K190" s="739" t="s">
        <v>125</v>
      </c>
      <c r="L190" s="750">
        <v>8.7499999999999994E-2</v>
      </c>
      <c r="M190" s="739" t="s">
        <v>129</v>
      </c>
      <c r="N190" s="739" t="s">
        <v>126</v>
      </c>
      <c r="O190" s="742">
        <v>4.0869999999999997E-2</v>
      </c>
      <c r="P190" s="739" t="s">
        <v>131</v>
      </c>
      <c r="Q190" s="814" t="s">
        <v>1070</v>
      </c>
      <c r="R190" s="360"/>
      <c r="S190" s="360"/>
      <c r="T190" s="779">
        <v>0</v>
      </c>
      <c r="U190" s="779">
        <v>0</v>
      </c>
      <c r="V190" s="779">
        <v>0</v>
      </c>
      <c r="W190" s="779">
        <v>0</v>
      </c>
      <c r="X190" s="779">
        <v>0</v>
      </c>
      <c r="Y190" s="779">
        <v>0</v>
      </c>
      <c r="Z190" s="779">
        <v>0</v>
      </c>
      <c r="AA190" s="779">
        <v>0</v>
      </c>
      <c r="AB190" s="779">
        <v>0</v>
      </c>
      <c r="AC190" s="779">
        <v>0</v>
      </c>
    </row>
    <row r="191" spans="2:29" outlineLevel="1">
      <c r="B191" s="775" t="s">
        <v>496</v>
      </c>
      <c r="C191" s="739" t="s">
        <v>1265</v>
      </c>
      <c r="D191" s="739">
        <v>39338</v>
      </c>
      <c r="E191" s="739">
        <v>45642</v>
      </c>
      <c r="F191" s="739" t="s">
        <v>1266</v>
      </c>
      <c r="G191" s="739" t="s">
        <v>137</v>
      </c>
      <c r="H191" s="739" t="s">
        <v>137</v>
      </c>
      <c r="I191" s="750">
        <v>-20</v>
      </c>
      <c r="J191" s="750" t="s">
        <v>1219</v>
      </c>
      <c r="K191" s="739" t="s">
        <v>125</v>
      </c>
      <c r="L191" s="750">
        <v>7.0000000000000007E-2</v>
      </c>
      <c r="M191" s="739" t="s">
        <v>129</v>
      </c>
      <c r="N191" s="739" t="s">
        <v>126</v>
      </c>
      <c r="O191" s="742">
        <v>2.6519999999999998E-2</v>
      </c>
      <c r="P191" s="739" t="s">
        <v>131</v>
      </c>
      <c r="Q191" s="814" t="s">
        <v>1071</v>
      </c>
      <c r="R191" s="360"/>
      <c r="S191" s="360"/>
      <c r="T191" s="779">
        <v>0</v>
      </c>
      <c r="U191" s="779">
        <v>0</v>
      </c>
      <c r="V191" s="779">
        <v>0</v>
      </c>
      <c r="W191" s="779">
        <v>0</v>
      </c>
      <c r="X191" s="779">
        <v>0</v>
      </c>
      <c r="Y191" s="779">
        <v>0</v>
      </c>
      <c r="Z191" s="779">
        <v>0</v>
      </c>
      <c r="AA191" s="779">
        <v>0</v>
      </c>
      <c r="AB191" s="779">
        <v>0</v>
      </c>
      <c r="AC191" s="779">
        <v>0</v>
      </c>
    </row>
    <row r="192" spans="2:29" outlineLevel="1">
      <c r="B192" s="775" t="s">
        <v>1007</v>
      </c>
      <c r="C192" s="739" t="s">
        <v>1267</v>
      </c>
      <c r="D192" s="739">
        <v>39836</v>
      </c>
      <c r="E192" s="739">
        <v>50538</v>
      </c>
      <c r="F192" s="739" t="s">
        <v>1268</v>
      </c>
      <c r="G192" s="739" t="s">
        <v>137</v>
      </c>
      <c r="H192" s="739" t="s">
        <v>137</v>
      </c>
      <c r="I192" s="750">
        <v>-23</v>
      </c>
      <c r="J192" s="750" t="s">
        <v>1219</v>
      </c>
      <c r="K192" s="739" t="s">
        <v>125</v>
      </c>
      <c r="L192" s="750">
        <v>0.06</v>
      </c>
      <c r="M192" s="739" t="s">
        <v>129</v>
      </c>
      <c r="N192" s="739" t="s">
        <v>126</v>
      </c>
      <c r="O192" s="742">
        <v>2.1325E-2</v>
      </c>
      <c r="P192" s="739" t="s">
        <v>131</v>
      </c>
      <c r="Q192" s="814" t="s">
        <v>1072</v>
      </c>
      <c r="R192" s="772"/>
      <c r="S192" s="772"/>
      <c r="T192" s="779">
        <v>0</v>
      </c>
      <c r="U192" s="779">
        <v>0</v>
      </c>
      <c r="V192" s="779">
        <v>0</v>
      </c>
      <c r="W192" s="779">
        <v>0</v>
      </c>
      <c r="X192" s="779">
        <v>0</v>
      </c>
      <c r="Y192" s="779">
        <v>0</v>
      </c>
      <c r="Z192" s="779">
        <v>0</v>
      </c>
      <c r="AA192" s="779">
        <v>0</v>
      </c>
      <c r="AB192" s="779">
        <v>0</v>
      </c>
      <c r="AC192" s="779">
        <v>0</v>
      </c>
    </row>
    <row r="193" spans="2:29" outlineLevel="1">
      <c r="B193" s="775" t="s">
        <v>1008</v>
      </c>
      <c r="C193" s="739" t="s">
        <v>1269</v>
      </c>
      <c r="D193" s="739">
        <v>40484</v>
      </c>
      <c r="E193" s="739">
        <v>50538</v>
      </c>
      <c r="F193" s="739" t="s">
        <v>1270</v>
      </c>
      <c r="G193" s="739" t="s">
        <v>137</v>
      </c>
      <c r="H193" s="739" t="s">
        <v>137</v>
      </c>
      <c r="I193" s="750">
        <v>-18</v>
      </c>
      <c r="J193" s="750" t="s">
        <v>1219</v>
      </c>
      <c r="K193" s="739" t="s">
        <v>125</v>
      </c>
      <c r="L193" s="750">
        <v>0.06</v>
      </c>
      <c r="M193" s="739" t="s">
        <v>129</v>
      </c>
      <c r="N193" s="739" t="s">
        <v>126</v>
      </c>
      <c r="O193" s="742">
        <v>2.1000000000000001E-2</v>
      </c>
      <c r="P193" s="739" t="s">
        <v>131</v>
      </c>
      <c r="Q193" s="814" t="s">
        <v>154</v>
      </c>
      <c r="R193" s="772"/>
      <c r="S193" s="772"/>
      <c r="T193" s="779">
        <v>0</v>
      </c>
      <c r="U193" s="779">
        <v>0</v>
      </c>
      <c r="V193" s="779">
        <v>0</v>
      </c>
      <c r="W193" s="779">
        <v>0</v>
      </c>
      <c r="X193" s="779">
        <v>0</v>
      </c>
      <c r="Y193" s="779">
        <v>0</v>
      </c>
      <c r="Z193" s="779">
        <v>0</v>
      </c>
      <c r="AA193" s="779">
        <v>0</v>
      </c>
      <c r="AB193" s="779">
        <v>0</v>
      </c>
      <c r="AC193" s="779">
        <v>0</v>
      </c>
    </row>
    <row r="194" spans="2:29" outlineLevel="1">
      <c r="B194" s="775" t="s">
        <v>1009</v>
      </c>
      <c r="C194" s="739" t="s">
        <v>1271</v>
      </c>
      <c r="D194" s="739">
        <v>42654</v>
      </c>
      <c r="E194" s="739">
        <v>50538</v>
      </c>
      <c r="F194" s="739" t="s">
        <v>1272</v>
      </c>
      <c r="G194" s="739" t="s">
        <v>137</v>
      </c>
      <c r="H194" s="739" t="s">
        <v>137</v>
      </c>
      <c r="I194" s="750">
        <v>-18</v>
      </c>
      <c r="J194" s="750" t="s">
        <v>1273</v>
      </c>
      <c r="K194" s="739" t="s">
        <v>126</v>
      </c>
      <c r="L194" s="750">
        <v>4.7370000000000002E-2</v>
      </c>
      <c r="M194" s="739" t="s">
        <v>131</v>
      </c>
      <c r="N194" s="739" t="s">
        <v>125</v>
      </c>
      <c r="O194" s="742">
        <v>0.06</v>
      </c>
      <c r="P194" s="739" t="s">
        <v>129</v>
      </c>
      <c r="Q194" s="814" t="s">
        <v>1073</v>
      </c>
      <c r="R194" s="772"/>
      <c r="S194" s="772"/>
      <c r="T194" s="779">
        <v>0</v>
      </c>
      <c r="U194" s="779">
        <v>0</v>
      </c>
      <c r="V194" s="779">
        <v>0</v>
      </c>
      <c r="W194" s="779">
        <v>0</v>
      </c>
      <c r="X194" s="779">
        <v>0</v>
      </c>
      <c r="Y194" s="779">
        <v>0</v>
      </c>
      <c r="Z194" s="779">
        <v>0</v>
      </c>
      <c r="AA194" s="779">
        <v>0</v>
      </c>
      <c r="AB194" s="779">
        <v>0</v>
      </c>
      <c r="AC194" s="779">
        <v>0</v>
      </c>
    </row>
    <row r="195" spans="2:29" outlineLevel="1">
      <c r="B195" s="775" t="s">
        <v>1010</v>
      </c>
      <c r="C195" s="739" t="s">
        <v>1274</v>
      </c>
      <c r="D195" s="739">
        <v>36977</v>
      </c>
      <c r="E195" s="739">
        <v>47434</v>
      </c>
      <c r="F195" s="739" t="s">
        <v>1275</v>
      </c>
      <c r="G195" s="739" t="s">
        <v>137</v>
      </c>
      <c r="H195" s="739" t="s">
        <v>137</v>
      </c>
      <c r="I195" s="750">
        <v>-10</v>
      </c>
      <c r="J195" s="750" t="s">
        <v>1231</v>
      </c>
      <c r="K195" s="739" t="s">
        <v>126</v>
      </c>
      <c r="L195" s="750">
        <v>3.8999999999999998E-3</v>
      </c>
      <c r="M195" s="739" t="s">
        <v>131</v>
      </c>
      <c r="N195" s="739" t="s">
        <v>125</v>
      </c>
      <c r="O195" s="742">
        <v>5.6349999999999997E-2</v>
      </c>
      <c r="P195" s="739" t="s">
        <v>129</v>
      </c>
      <c r="Q195" s="814" t="s">
        <v>154</v>
      </c>
      <c r="R195" s="772"/>
      <c r="S195" s="772"/>
      <c r="T195" s="779">
        <v>0</v>
      </c>
      <c r="U195" s="779">
        <v>0</v>
      </c>
      <c r="V195" s="779">
        <v>0</v>
      </c>
      <c r="W195" s="779">
        <v>0</v>
      </c>
      <c r="X195" s="779">
        <v>0</v>
      </c>
      <c r="Y195" s="779">
        <v>0</v>
      </c>
      <c r="Z195" s="779">
        <v>0</v>
      </c>
      <c r="AA195" s="779">
        <v>0</v>
      </c>
      <c r="AB195" s="779">
        <v>0</v>
      </c>
      <c r="AC195" s="779">
        <v>0</v>
      </c>
    </row>
    <row r="196" spans="2:29" outlineLevel="1">
      <c r="B196" s="775" t="s">
        <v>1011</v>
      </c>
      <c r="C196" s="739" t="s">
        <v>1276</v>
      </c>
      <c r="D196" s="739">
        <v>37162</v>
      </c>
      <c r="E196" s="739">
        <v>47434</v>
      </c>
      <c r="F196" s="739" t="s">
        <v>1277</v>
      </c>
      <c r="G196" s="739" t="s">
        <v>137</v>
      </c>
      <c r="H196" s="739" t="s">
        <v>137</v>
      </c>
      <c r="I196" s="750">
        <v>-9.75</v>
      </c>
      <c r="J196" s="750" t="s">
        <v>1231</v>
      </c>
      <c r="K196" s="739" t="s">
        <v>126</v>
      </c>
      <c r="L196" s="750">
        <v>3.8999999999999998E-3</v>
      </c>
      <c r="M196" s="739" t="s">
        <v>131</v>
      </c>
      <c r="N196" s="739" t="s">
        <v>125</v>
      </c>
      <c r="O196" s="742">
        <v>5.6425000000000003E-2</v>
      </c>
      <c r="P196" s="739" t="s">
        <v>129</v>
      </c>
      <c r="Q196" s="814" t="s">
        <v>1068</v>
      </c>
      <c r="R196" s="772"/>
      <c r="S196" s="772"/>
      <c r="T196" s="779">
        <v>0</v>
      </c>
      <c r="U196" s="779">
        <v>0</v>
      </c>
      <c r="V196" s="779">
        <v>0</v>
      </c>
      <c r="W196" s="779">
        <v>0</v>
      </c>
      <c r="X196" s="779">
        <v>0</v>
      </c>
      <c r="Y196" s="779">
        <v>0</v>
      </c>
      <c r="Z196" s="779">
        <v>0</v>
      </c>
      <c r="AA196" s="779">
        <v>0</v>
      </c>
      <c r="AB196" s="779">
        <v>0</v>
      </c>
      <c r="AC196" s="779">
        <v>0</v>
      </c>
    </row>
    <row r="197" spans="2:29" outlineLevel="1">
      <c r="B197" s="775" t="s">
        <v>1012</v>
      </c>
      <c r="C197" s="739" t="s">
        <v>1278</v>
      </c>
      <c r="D197" s="739">
        <v>42278</v>
      </c>
      <c r="E197" s="739">
        <v>47434</v>
      </c>
      <c r="F197" s="739" t="s">
        <v>1279</v>
      </c>
      <c r="G197" s="739" t="s">
        <v>137</v>
      </c>
      <c r="H197" s="739" t="s">
        <v>137</v>
      </c>
      <c r="I197" s="750">
        <v>-12.5</v>
      </c>
      <c r="J197" s="750" t="s">
        <v>1231</v>
      </c>
      <c r="K197" s="739" t="s">
        <v>126</v>
      </c>
      <c r="L197" s="750">
        <v>3.8999999999999998E-3</v>
      </c>
      <c r="M197" s="739" t="s">
        <v>131</v>
      </c>
      <c r="N197" s="739" t="s">
        <v>125</v>
      </c>
      <c r="O197" s="742">
        <v>5.8450000000000002E-2</v>
      </c>
      <c r="P197" s="739" t="s">
        <v>129</v>
      </c>
      <c r="Q197" s="814" t="s">
        <v>1074</v>
      </c>
      <c r="R197" s="772"/>
      <c r="S197" s="772"/>
      <c r="T197" s="779">
        <v>0</v>
      </c>
      <c r="U197" s="779">
        <v>0</v>
      </c>
      <c r="V197" s="779">
        <v>0</v>
      </c>
      <c r="W197" s="779">
        <v>0</v>
      </c>
      <c r="X197" s="779">
        <v>0</v>
      </c>
      <c r="Y197" s="779">
        <v>0</v>
      </c>
      <c r="Z197" s="779">
        <v>0</v>
      </c>
      <c r="AA197" s="779">
        <v>0</v>
      </c>
      <c r="AB197" s="779">
        <v>0</v>
      </c>
      <c r="AC197" s="779">
        <v>0</v>
      </c>
    </row>
    <row r="198" spans="2:29" outlineLevel="1">
      <c r="B198" s="775" t="s">
        <v>1013</v>
      </c>
      <c r="C198" s="739" t="s">
        <v>1280</v>
      </c>
      <c r="D198" s="739">
        <v>36336</v>
      </c>
      <c r="E198" s="739">
        <v>44504</v>
      </c>
      <c r="F198" s="739" t="s">
        <v>1281</v>
      </c>
      <c r="G198" s="739" t="s">
        <v>137</v>
      </c>
      <c r="H198" s="739" t="s">
        <v>137</v>
      </c>
      <c r="I198" s="750">
        <v>-26.792959</v>
      </c>
      <c r="J198" s="750" t="s">
        <v>1219</v>
      </c>
      <c r="K198" s="739" t="s">
        <v>125</v>
      </c>
      <c r="L198" s="750">
        <v>9.10498E-2</v>
      </c>
      <c r="M198" s="739" t="s">
        <v>129</v>
      </c>
      <c r="N198" s="739" t="s">
        <v>126</v>
      </c>
      <c r="O198" s="742">
        <v>3.3700000000000001E-2</v>
      </c>
      <c r="P198" s="739" t="s">
        <v>131</v>
      </c>
      <c r="Q198" s="814" t="s">
        <v>1069</v>
      </c>
      <c r="R198" s="772"/>
      <c r="S198" s="772"/>
      <c r="T198" s="779">
        <v>0</v>
      </c>
      <c r="U198" s="779">
        <v>0</v>
      </c>
      <c r="V198" s="779">
        <v>0</v>
      </c>
      <c r="W198" s="779">
        <v>0</v>
      </c>
      <c r="X198" s="779">
        <v>0</v>
      </c>
      <c r="Y198" s="779">
        <v>0</v>
      </c>
      <c r="Z198" s="779">
        <v>0</v>
      </c>
      <c r="AA198" s="779">
        <v>0</v>
      </c>
      <c r="AB198" s="779">
        <v>0</v>
      </c>
      <c r="AC198" s="779">
        <v>0</v>
      </c>
    </row>
    <row r="199" spans="2:29" outlineLevel="1">
      <c r="B199" s="775" t="s">
        <v>1014</v>
      </c>
      <c r="C199" s="739" t="s">
        <v>1282</v>
      </c>
      <c r="D199" s="739">
        <v>36556</v>
      </c>
      <c r="E199" s="739">
        <v>44504</v>
      </c>
      <c r="F199" s="739" t="s">
        <v>1283</v>
      </c>
      <c r="G199" s="739" t="s">
        <v>137</v>
      </c>
      <c r="H199" s="739" t="s">
        <v>137</v>
      </c>
      <c r="I199" s="750">
        <v>-40</v>
      </c>
      <c r="J199" s="750" t="s">
        <v>1219</v>
      </c>
      <c r="K199" s="739" t="s">
        <v>125</v>
      </c>
      <c r="L199" s="750">
        <v>7.4104299999999998E-2</v>
      </c>
      <c r="M199" s="739" t="s">
        <v>129</v>
      </c>
      <c r="N199" s="739" t="s">
        <v>126</v>
      </c>
      <c r="O199" s="742">
        <v>1.6199999999999999E-2</v>
      </c>
      <c r="P199" s="739" t="s">
        <v>131</v>
      </c>
      <c r="Q199" s="814" t="s">
        <v>1069</v>
      </c>
      <c r="R199" s="772"/>
      <c r="S199" s="772"/>
      <c r="T199" s="779">
        <v>0</v>
      </c>
      <c r="U199" s="779">
        <v>0</v>
      </c>
      <c r="V199" s="779">
        <v>0</v>
      </c>
      <c r="W199" s="779">
        <v>0</v>
      </c>
      <c r="X199" s="779">
        <v>0</v>
      </c>
      <c r="Y199" s="779">
        <v>0</v>
      </c>
      <c r="Z199" s="779">
        <v>0</v>
      </c>
      <c r="AA199" s="779">
        <v>0</v>
      </c>
      <c r="AB199" s="779">
        <v>0</v>
      </c>
      <c r="AC199" s="779">
        <v>0</v>
      </c>
    </row>
    <row r="200" spans="2:29" outlineLevel="1">
      <c r="B200" s="775" t="s">
        <v>1015</v>
      </c>
      <c r="C200" s="739" t="s">
        <v>1284</v>
      </c>
      <c r="D200" s="739">
        <v>43292</v>
      </c>
      <c r="E200" s="739">
        <v>47200</v>
      </c>
      <c r="F200" s="739" t="s">
        <v>1285</v>
      </c>
      <c r="G200" s="739" t="s">
        <v>137</v>
      </c>
      <c r="H200" s="739" t="s">
        <v>137</v>
      </c>
      <c r="I200" s="750">
        <v>-52.2</v>
      </c>
      <c r="J200" s="750" t="s">
        <v>1240</v>
      </c>
      <c r="K200" s="739" t="s">
        <v>126</v>
      </c>
      <c r="L200" s="750">
        <v>3.0000000000000001E-3</v>
      </c>
      <c r="M200" s="739" t="s">
        <v>130</v>
      </c>
      <c r="N200" s="739" t="s">
        <v>125</v>
      </c>
      <c r="O200" s="742">
        <v>1.7950000000000001E-2</v>
      </c>
      <c r="P200" s="739" t="s">
        <v>129</v>
      </c>
      <c r="Q200" s="814" t="s">
        <v>1072</v>
      </c>
      <c r="R200" s="772"/>
      <c r="S200" s="772"/>
      <c r="T200" s="779">
        <v>0</v>
      </c>
      <c r="U200" s="779">
        <v>0</v>
      </c>
      <c r="V200" s="779">
        <v>0</v>
      </c>
      <c r="W200" s="779">
        <v>0</v>
      </c>
      <c r="X200" s="779">
        <v>0</v>
      </c>
      <c r="Y200" s="779">
        <v>0</v>
      </c>
      <c r="Z200" s="779">
        <v>0</v>
      </c>
      <c r="AA200" s="779">
        <v>0</v>
      </c>
      <c r="AB200" s="779">
        <v>0</v>
      </c>
      <c r="AC200" s="779">
        <v>0</v>
      </c>
    </row>
    <row r="201" spans="2:29" outlineLevel="1">
      <c r="B201" s="775" t="s">
        <v>1016</v>
      </c>
      <c r="C201" s="739" t="s">
        <v>1286</v>
      </c>
      <c r="D201" s="739">
        <v>43293</v>
      </c>
      <c r="E201" s="739">
        <v>47434</v>
      </c>
      <c r="F201" s="739" t="s">
        <v>1287</v>
      </c>
      <c r="G201" s="739" t="s">
        <v>137</v>
      </c>
      <c r="H201" s="739" t="s">
        <v>137</v>
      </c>
      <c r="I201" s="750">
        <v>-23.8</v>
      </c>
      <c r="J201" s="750" t="s">
        <v>1219</v>
      </c>
      <c r="K201" s="739" t="s">
        <v>126</v>
      </c>
      <c r="L201" s="750">
        <v>3.8999999999999998E-3</v>
      </c>
      <c r="M201" s="739" t="s">
        <v>131</v>
      </c>
      <c r="N201" s="739" t="s">
        <v>125</v>
      </c>
      <c r="O201" s="742">
        <v>1.9599999999999999E-2</v>
      </c>
      <c r="P201" s="739" t="s">
        <v>129</v>
      </c>
      <c r="Q201" s="814" t="s">
        <v>1071</v>
      </c>
      <c r="R201" s="772"/>
      <c r="S201" s="772"/>
      <c r="T201" s="779">
        <v>0</v>
      </c>
      <c r="U201" s="779">
        <v>0</v>
      </c>
      <c r="V201" s="779">
        <v>0</v>
      </c>
      <c r="W201" s="779">
        <v>0</v>
      </c>
      <c r="X201" s="779">
        <v>0</v>
      </c>
      <c r="Y201" s="779">
        <v>0</v>
      </c>
      <c r="Z201" s="779">
        <v>0</v>
      </c>
      <c r="AA201" s="779">
        <v>0</v>
      </c>
      <c r="AB201" s="779">
        <v>0</v>
      </c>
      <c r="AC201" s="779">
        <v>0</v>
      </c>
    </row>
    <row r="202" spans="2:29" outlineLevel="1">
      <c r="B202" s="775" t="s">
        <v>1017</v>
      </c>
      <c r="C202" s="739" t="s">
        <v>1288</v>
      </c>
      <c r="D202" s="739">
        <v>43859</v>
      </c>
      <c r="E202" s="739">
        <v>47886</v>
      </c>
      <c r="F202" s="739" t="s">
        <v>1289</v>
      </c>
      <c r="G202" s="739" t="s">
        <v>137</v>
      </c>
      <c r="H202" s="739" t="s">
        <v>137</v>
      </c>
      <c r="I202" s="750">
        <v>-40</v>
      </c>
      <c r="J202" s="750" t="s">
        <v>1219</v>
      </c>
      <c r="K202" s="739" t="s">
        <v>125</v>
      </c>
      <c r="L202" s="750">
        <v>1.375E-2</v>
      </c>
      <c r="M202" s="739" t="s">
        <v>129</v>
      </c>
      <c r="N202" s="739" t="s">
        <v>126</v>
      </c>
      <c r="O202" s="742">
        <v>6.1149999999999998E-3</v>
      </c>
      <c r="P202" s="739" t="s">
        <v>131</v>
      </c>
      <c r="Q202" s="814" t="s">
        <v>1070</v>
      </c>
      <c r="R202" s="772"/>
      <c r="S202" s="772"/>
      <c r="T202" s="779">
        <v>0</v>
      </c>
      <c r="U202" s="779">
        <v>0</v>
      </c>
      <c r="V202" s="779">
        <v>0</v>
      </c>
      <c r="W202" s="779">
        <v>0</v>
      </c>
      <c r="X202" s="779">
        <v>0</v>
      </c>
      <c r="Y202" s="779">
        <v>0</v>
      </c>
      <c r="Z202" s="779">
        <v>0</v>
      </c>
      <c r="AA202" s="779">
        <v>0</v>
      </c>
      <c r="AB202" s="779">
        <v>0</v>
      </c>
      <c r="AC202" s="779">
        <v>0</v>
      </c>
    </row>
    <row r="203" spans="2:29" outlineLevel="1">
      <c r="B203" s="775" t="s">
        <v>1018</v>
      </c>
      <c r="C203" s="739" t="s">
        <v>1290</v>
      </c>
      <c r="D203" s="739">
        <v>44203</v>
      </c>
      <c r="E203" s="739">
        <v>47886</v>
      </c>
      <c r="F203" s="739" t="s">
        <v>1291</v>
      </c>
      <c r="G203" s="739" t="s">
        <v>137</v>
      </c>
      <c r="H203" s="739" t="s">
        <v>137</v>
      </c>
      <c r="I203" s="750">
        <v>-50</v>
      </c>
      <c r="J203" s="750" t="s">
        <v>1219</v>
      </c>
      <c r="K203" s="739" t="s">
        <v>125</v>
      </c>
      <c r="L203" s="750">
        <v>1.375E-2</v>
      </c>
      <c r="M203" s="739" t="s">
        <v>129</v>
      </c>
      <c r="N203" s="739" t="s">
        <v>126</v>
      </c>
      <c r="O203" s="742">
        <v>9.2849999999999999E-3</v>
      </c>
      <c r="P203" s="739" t="s">
        <v>131</v>
      </c>
      <c r="Q203" s="814" t="s">
        <v>1075</v>
      </c>
      <c r="R203" s="772"/>
      <c r="S203" s="772"/>
      <c r="T203" s="779">
        <v>0</v>
      </c>
      <c r="U203" s="779">
        <v>0</v>
      </c>
      <c r="V203" s="779">
        <v>0</v>
      </c>
      <c r="W203" s="779">
        <v>0</v>
      </c>
      <c r="X203" s="779">
        <v>0</v>
      </c>
      <c r="Y203" s="779">
        <v>0</v>
      </c>
      <c r="Z203" s="779">
        <v>0</v>
      </c>
      <c r="AA203" s="779">
        <v>0</v>
      </c>
      <c r="AB203" s="779">
        <v>0</v>
      </c>
      <c r="AC203" s="779">
        <v>0</v>
      </c>
    </row>
    <row r="204" spans="2:29" outlineLevel="1">
      <c r="B204" s="775" t="s">
        <v>1019</v>
      </c>
      <c r="C204" s="739" t="s">
        <v>1292</v>
      </c>
      <c r="D204" s="739">
        <v>44203</v>
      </c>
      <c r="E204" s="739">
        <v>47886</v>
      </c>
      <c r="F204" s="739" t="s">
        <v>1293</v>
      </c>
      <c r="G204" s="739" t="s">
        <v>137</v>
      </c>
      <c r="H204" s="739" t="s">
        <v>137</v>
      </c>
      <c r="I204" s="750">
        <v>-35</v>
      </c>
      <c r="J204" s="750" t="s">
        <v>1219</v>
      </c>
      <c r="K204" s="739" t="s">
        <v>125</v>
      </c>
      <c r="L204" s="750">
        <v>1.375E-2</v>
      </c>
      <c r="M204" s="739" t="s">
        <v>129</v>
      </c>
      <c r="N204" s="739" t="s">
        <v>126</v>
      </c>
      <c r="O204" s="742">
        <v>9.2250000000000006E-3</v>
      </c>
      <c r="P204" s="739" t="s">
        <v>131</v>
      </c>
      <c r="Q204" s="814" t="s">
        <v>1075</v>
      </c>
      <c r="R204" s="772"/>
      <c r="S204" s="772"/>
      <c r="T204" s="779">
        <v>0</v>
      </c>
      <c r="U204" s="779">
        <v>0</v>
      </c>
      <c r="V204" s="779">
        <v>0</v>
      </c>
      <c r="W204" s="779">
        <v>0</v>
      </c>
      <c r="X204" s="779">
        <v>0</v>
      </c>
      <c r="Y204" s="779">
        <v>0</v>
      </c>
      <c r="Z204" s="779">
        <v>0</v>
      </c>
      <c r="AA204" s="779">
        <v>0</v>
      </c>
      <c r="AB204" s="779">
        <v>0</v>
      </c>
      <c r="AC204" s="779">
        <v>0</v>
      </c>
    </row>
    <row r="205" spans="2:29" outlineLevel="1">
      <c r="B205" s="775" t="s">
        <v>1020</v>
      </c>
      <c r="C205" s="739" t="s">
        <v>1294</v>
      </c>
      <c r="D205" s="739">
        <v>44204</v>
      </c>
      <c r="E205" s="739">
        <v>52245</v>
      </c>
      <c r="F205" s="739" t="s">
        <v>1295</v>
      </c>
      <c r="G205" s="739" t="s">
        <v>137</v>
      </c>
      <c r="H205" s="739" t="s">
        <v>137</v>
      </c>
      <c r="I205" s="750">
        <v>-37.5</v>
      </c>
      <c r="J205" s="750" t="s">
        <v>1219</v>
      </c>
      <c r="K205" s="739" t="s">
        <v>125</v>
      </c>
      <c r="L205" s="750">
        <v>1.6250000000000001E-2</v>
      </c>
      <c r="M205" s="739" t="s">
        <v>129</v>
      </c>
      <c r="N205" s="739" t="s">
        <v>126</v>
      </c>
      <c r="O205" s="742">
        <v>9.41E-3</v>
      </c>
      <c r="P205" s="739" t="s">
        <v>131</v>
      </c>
      <c r="Q205" s="814" t="s">
        <v>1074</v>
      </c>
      <c r="R205" s="772"/>
      <c r="S205" s="772"/>
      <c r="T205" s="779">
        <v>0</v>
      </c>
      <c r="U205" s="779">
        <v>0</v>
      </c>
      <c r="V205" s="779">
        <v>0</v>
      </c>
      <c r="W205" s="779">
        <v>0</v>
      </c>
      <c r="X205" s="779">
        <v>0</v>
      </c>
      <c r="Y205" s="779">
        <v>0</v>
      </c>
      <c r="Z205" s="779">
        <v>0</v>
      </c>
      <c r="AA205" s="779">
        <v>0</v>
      </c>
      <c r="AB205" s="779">
        <v>0</v>
      </c>
      <c r="AC205" s="779">
        <v>0</v>
      </c>
    </row>
    <row r="206" spans="2:29" outlineLevel="1">
      <c r="B206" s="775" t="s">
        <v>1021</v>
      </c>
      <c r="C206" s="739" t="s">
        <v>1296</v>
      </c>
      <c r="D206" s="739">
        <v>44204</v>
      </c>
      <c r="E206" s="739">
        <v>52245</v>
      </c>
      <c r="F206" s="739" t="s">
        <v>1295</v>
      </c>
      <c r="G206" s="739" t="s">
        <v>137</v>
      </c>
      <c r="H206" s="739" t="s">
        <v>137</v>
      </c>
      <c r="I206" s="750">
        <v>-37.5</v>
      </c>
      <c r="J206" s="750" t="s">
        <v>1219</v>
      </c>
      <c r="K206" s="739" t="s">
        <v>125</v>
      </c>
      <c r="L206" s="750">
        <v>1.6250000000000001E-2</v>
      </c>
      <c r="M206" s="739" t="s">
        <v>129</v>
      </c>
      <c r="N206" s="739" t="s">
        <v>126</v>
      </c>
      <c r="O206" s="742">
        <v>9.4199999999999996E-3</v>
      </c>
      <c r="P206" s="739" t="s">
        <v>131</v>
      </c>
      <c r="Q206" s="814" t="s">
        <v>1074</v>
      </c>
      <c r="R206" s="772"/>
      <c r="S206" s="772"/>
      <c r="T206" s="779">
        <v>0</v>
      </c>
      <c r="U206" s="779">
        <v>0</v>
      </c>
      <c r="V206" s="779">
        <v>0</v>
      </c>
      <c r="W206" s="779">
        <v>0</v>
      </c>
      <c r="X206" s="779">
        <v>0</v>
      </c>
      <c r="Y206" s="779">
        <v>0</v>
      </c>
      <c r="Z206" s="779">
        <v>0</v>
      </c>
      <c r="AA206" s="779">
        <v>0</v>
      </c>
      <c r="AB206" s="779">
        <v>0</v>
      </c>
      <c r="AC206" s="779">
        <v>0</v>
      </c>
    </row>
    <row r="207" spans="2:29" outlineLevel="1">
      <c r="B207" s="775" t="s">
        <v>1022</v>
      </c>
      <c r="C207" s="739" t="s">
        <v>1297</v>
      </c>
      <c r="D207" s="739">
        <v>44321</v>
      </c>
      <c r="E207" s="739">
        <v>47886</v>
      </c>
      <c r="F207" s="739" t="s">
        <v>1298</v>
      </c>
      <c r="G207" s="739" t="s">
        <v>137</v>
      </c>
      <c r="H207" s="739" t="s">
        <v>137</v>
      </c>
      <c r="I207" s="750">
        <v>-40</v>
      </c>
      <c r="J207" s="750" t="s">
        <v>1299</v>
      </c>
      <c r="K207" s="739" t="s">
        <v>125</v>
      </c>
      <c r="L207" s="750">
        <v>1.375E-2</v>
      </c>
      <c r="M207" s="739" t="s">
        <v>129</v>
      </c>
      <c r="N207" s="739" t="s">
        <v>126</v>
      </c>
      <c r="O207" s="742">
        <v>8.8179E-3</v>
      </c>
      <c r="P207" s="739" t="s">
        <v>1063</v>
      </c>
      <c r="Q207" s="814" t="s">
        <v>1070</v>
      </c>
      <c r="R207" s="772"/>
      <c r="S207" s="772"/>
      <c r="T207" s="779">
        <v>3.8</v>
      </c>
      <c r="U207" s="779">
        <v>3.4086341399999998</v>
      </c>
      <c r="V207" s="779">
        <v>2.6376125699999999</v>
      </c>
      <c r="W207" s="779">
        <v>2.0241893200000001</v>
      </c>
      <c r="X207" s="779">
        <v>1.5182905300000002</v>
      </c>
      <c r="Y207" s="779">
        <v>1.0745409000000001</v>
      </c>
      <c r="Z207" s="779">
        <v>0.68756952000000005</v>
      </c>
      <c r="AA207" s="779">
        <v>0.33820425000000004</v>
      </c>
      <c r="AB207" s="779">
        <v>-1.4149449999999952E-2</v>
      </c>
      <c r="AC207" s="779">
        <v>0</v>
      </c>
    </row>
    <row r="208" spans="2:29" outlineLevel="1">
      <c r="B208" s="775" t="s">
        <v>1023</v>
      </c>
      <c r="C208" s="739" t="s">
        <v>1300</v>
      </c>
      <c r="D208" s="739">
        <v>44321</v>
      </c>
      <c r="E208" s="739">
        <v>47886</v>
      </c>
      <c r="F208" s="739" t="s">
        <v>1301</v>
      </c>
      <c r="G208" s="739" t="s">
        <v>137</v>
      </c>
      <c r="H208" s="739" t="s">
        <v>137</v>
      </c>
      <c r="I208" s="750">
        <v>-50</v>
      </c>
      <c r="J208" s="750" t="s">
        <v>1299</v>
      </c>
      <c r="K208" s="739" t="s">
        <v>125</v>
      </c>
      <c r="L208" s="750">
        <v>1.375E-2</v>
      </c>
      <c r="M208" s="739" t="s">
        <v>129</v>
      </c>
      <c r="N208" s="739" t="s">
        <v>126</v>
      </c>
      <c r="O208" s="742">
        <v>1.1989E-2</v>
      </c>
      <c r="P208" s="739" t="s">
        <v>1063</v>
      </c>
      <c r="Q208" s="814" t="s">
        <v>1075</v>
      </c>
      <c r="R208" s="772"/>
      <c r="S208" s="772"/>
      <c r="T208" s="779">
        <v>6</v>
      </c>
      <c r="U208" s="779">
        <v>5.3526720699999997</v>
      </c>
      <c r="V208" s="779">
        <v>4.2299057099999997</v>
      </c>
      <c r="W208" s="779">
        <v>3.3045716399999998</v>
      </c>
      <c r="X208" s="779">
        <v>2.5136431399999997</v>
      </c>
      <c r="Y208" s="779">
        <v>1.8004010999999998</v>
      </c>
      <c r="Z208" s="779">
        <v>1.1576974799999997</v>
      </c>
      <c r="AA208" s="779">
        <v>0.56243587999999978</v>
      </c>
      <c r="AB208" s="779">
        <v>-3.6561240000000272E-2</v>
      </c>
      <c r="AC208" s="779">
        <v>0</v>
      </c>
    </row>
    <row r="209" spans="2:29" outlineLevel="1">
      <c r="B209" s="775" t="s">
        <v>1024</v>
      </c>
      <c r="C209" s="739" t="s">
        <v>1302</v>
      </c>
      <c r="D209" s="739">
        <v>44321</v>
      </c>
      <c r="E209" s="739">
        <v>47886</v>
      </c>
      <c r="F209" s="739" t="s">
        <v>1303</v>
      </c>
      <c r="G209" s="739" t="s">
        <v>137</v>
      </c>
      <c r="H209" s="739" t="s">
        <v>137</v>
      </c>
      <c r="I209" s="750">
        <v>-35</v>
      </c>
      <c r="J209" s="750" t="s">
        <v>1299</v>
      </c>
      <c r="K209" s="739" t="s">
        <v>125</v>
      </c>
      <c r="L209" s="750">
        <v>1.375E-2</v>
      </c>
      <c r="M209" s="739" t="s">
        <v>129</v>
      </c>
      <c r="N209" s="739" t="s">
        <v>126</v>
      </c>
      <c r="O209" s="742">
        <v>1.1927999999999999E-2</v>
      </c>
      <c r="P209" s="739" t="s">
        <v>1063</v>
      </c>
      <c r="Q209" s="814" t="s">
        <v>1075</v>
      </c>
      <c r="R209" s="772"/>
      <c r="S209" s="772"/>
      <c r="T209" s="779">
        <v>4.2</v>
      </c>
      <c r="U209" s="779">
        <v>3.7489996000000003</v>
      </c>
      <c r="V209" s="779">
        <v>2.9652040000000004</v>
      </c>
      <c r="W209" s="779">
        <v>2.3196051500000006</v>
      </c>
      <c r="X209" s="779">
        <v>1.7680902000000005</v>
      </c>
      <c r="Y209" s="779">
        <v>1.2709557800000004</v>
      </c>
      <c r="Z209" s="779">
        <v>0.82320410000000044</v>
      </c>
      <c r="AA209" s="779">
        <v>0.40865598000000042</v>
      </c>
      <c r="AB209" s="779">
        <v>-8.5069999999995427E-3</v>
      </c>
      <c r="AC209" s="779">
        <v>0</v>
      </c>
    </row>
    <row r="210" spans="2:29" outlineLevel="1">
      <c r="B210" s="775" t="s">
        <v>1025</v>
      </c>
      <c r="C210" s="739" t="s">
        <v>1304</v>
      </c>
      <c r="D210" s="739">
        <v>44321</v>
      </c>
      <c r="E210" s="739">
        <v>52245</v>
      </c>
      <c r="F210" s="739" t="s">
        <v>1305</v>
      </c>
      <c r="G210" s="739" t="s">
        <v>137</v>
      </c>
      <c r="H210" s="739" t="s">
        <v>137</v>
      </c>
      <c r="I210" s="750">
        <v>-37.5</v>
      </c>
      <c r="J210" s="750" t="s">
        <v>1299</v>
      </c>
      <c r="K210" s="739" t="s">
        <v>125</v>
      </c>
      <c r="L210" s="750">
        <v>1.6250000000000001E-2</v>
      </c>
      <c r="M210" s="739" t="s">
        <v>129</v>
      </c>
      <c r="N210" s="739" t="s">
        <v>126</v>
      </c>
      <c r="O210" s="742">
        <v>1.2163E-2</v>
      </c>
      <c r="P210" s="739" t="s">
        <v>1063</v>
      </c>
      <c r="Q210" s="814" t="s">
        <v>1074</v>
      </c>
      <c r="R210" s="772"/>
      <c r="S210" s="772"/>
      <c r="T210" s="779">
        <v>0</v>
      </c>
      <c r="U210" s="779">
        <v>0</v>
      </c>
      <c r="V210" s="779">
        <v>0</v>
      </c>
      <c r="W210" s="779">
        <v>0</v>
      </c>
      <c r="X210" s="779">
        <v>0</v>
      </c>
      <c r="Y210" s="779">
        <v>0</v>
      </c>
      <c r="Z210" s="779">
        <v>0</v>
      </c>
      <c r="AA210" s="779">
        <v>0</v>
      </c>
      <c r="AB210" s="779">
        <v>0</v>
      </c>
      <c r="AC210" s="779">
        <v>0</v>
      </c>
    </row>
    <row r="211" spans="2:29" outlineLevel="1">
      <c r="B211" s="775" t="s">
        <v>1026</v>
      </c>
      <c r="C211" s="739" t="s">
        <v>1306</v>
      </c>
      <c r="D211" s="739">
        <v>44321</v>
      </c>
      <c r="E211" s="739">
        <v>52245</v>
      </c>
      <c r="F211" s="739" t="s">
        <v>1305</v>
      </c>
      <c r="G211" s="739" t="s">
        <v>137</v>
      </c>
      <c r="H211" s="739" t="s">
        <v>137</v>
      </c>
      <c r="I211" s="750">
        <v>-37.5</v>
      </c>
      <c r="J211" s="750" t="s">
        <v>1299</v>
      </c>
      <c r="K211" s="739" t="s">
        <v>125</v>
      </c>
      <c r="L211" s="750">
        <v>1.6250000000000001E-2</v>
      </c>
      <c r="M211" s="739" t="s">
        <v>129</v>
      </c>
      <c r="N211" s="739" t="s">
        <v>126</v>
      </c>
      <c r="O211" s="742">
        <v>1.2173E-2</v>
      </c>
      <c r="P211" s="739" t="s">
        <v>1063</v>
      </c>
      <c r="Q211" s="814" t="s">
        <v>1074</v>
      </c>
      <c r="R211" s="772"/>
      <c r="S211" s="772"/>
      <c r="T211" s="779">
        <v>0</v>
      </c>
      <c r="U211" s="779">
        <v>0</v>
      </c>
      <c r="V211" s="779">
        <v>0</v>
      </c>
      <c r="W211" s="779">
        <v>0</v>
      </c>
      <c r="X211" s="779">
        <v>0</v>
      </c>
      <c r="Y211" s="779">
        <v>0</v>
      </c>
      <c r="Z211" s="779">
        <v>0</v>
      </c>
      <c r="AA211" s="779">
        <v>0</v>
      </c>
      <c r="AB211" s="779">
        <v>0</v>
      </c>
      <c r="AC211" s="779">
        <v>0</v>
      </c>
    </row>
    <row r="212" spans="2:29" outlineLevel="1">
      <c r="B212" s="775" t="s">
        <v>1027</v>
      </c>
      <c r="C212" s="739" t="s">
        <v>1307</v>
      </c>
      <c r="D212" s="739">
        <v>44357</v>
      </c>
      <c r="E212" s="739">
        <v>45642</v>
      </c>
      <c r="F212" s="739" t="s">
        <v>1308</v>
      </c>
      <c r="G212" s="739" t="s">
        <v>137</v>
      </c>
      <c r="H212" s="739" t="s">
        <v>137</v>
      </c>
      <c r="I212" s="750">
        <v>-5</v>
      </c>
      <c r="J212" s="750" t="s">
        <v>1219</v>
      </c>
      <c r="K212" s="739" t="s">
        <v>125</v>
      </c>
      <c r="L212" s="750">
        <v>7.0000000000000007E-2</v>
      </c>
      <c r="M212" s="739" t="s">
        <v>129</v>
      </c>
      <c r="N212" s="739" t="s">
        <v>126</v>
      </c>
      <c r="O212" s="742">
        <v>2.869E-2</v>
      </c>
      <c r="P212" s="739" t="s">
        <v>1063</v>
      </c>
      <c r="Q212" s="814" t="s">
        <v>1071</v>
      </c>
      <c r="R212" s="772"/>
      <c r="S212" s="772"/>
      <c r="T212" s="779">
        <v>0</v>
      </c>
      <c r="U212" s="779">
        <v>0</v>
      </c>
      <c r="V212" s="779">
        <v>0</v>
      </c>
      <c r="W212" s="779">
        <v>0</v>
      </c>
      <c r="X212" s="779">
        <v>0</v>
      </c>
      <c r="Y212" s="779">
        <v>0</v>
      </c>
      <c r="Z212" s="779">
        <v>0</v>
      </c>
      <c r="AA212" s="779">
        <v>0</v>
      </c>
      <c r="AB212" s="779">
        <v>0</v>
      </c>
      <c r="AC212" s="779">
        <v>0</v>
      </c>
    </row>
    <row r="213" spans="2:29" outlineLevel="1">
      <c r="B213" s="775" t="s">
        <v>1028</v>
      </c>
      <c r="C213" s="739" t="s">
        <v>1309</v>
      </c>
      <c r="D213" s="739">
        <v>44357</v>
      </c>
      <c r="E213" s="739">
        <v>45835</v>
      </c>
      <c r="F213" s="739" t="s">
        <v>1310</v>
      </c>
      <c r="G213" s="739" t="s">
        <v>137</v>
      </c>
      <c r="H213" s="739" t="s">
        <v>137</v>
      </c>
      <c r="I213" s="750">
        <v>-16</v>
      </c>
      <c r="J213" s="750" t="s">
        <v>1219</v>
      </c>
      <c r="K213" s="739" t="s">
        <v>125</v>
      </c>
      <c r="L213" s="750">
        <v>8.7499999999999994E-2</v>
      </c>
      <c r="M213" s="739" t="s">
        <v>129</v>
      </c>
      <c r="N213" s="739" t="s">
        <v>126</v>
      </c>
      <c r="O213" s="742">
        <v>4.3222999999999998E-2</v>
      </c>
      <c r="P213" s="739" t="s">
        <v>1063</v>
      </c>
      <c r="Q213" s="814" t="s">
        <v>1070</v>
      </c>
      <c r="R213" s="772"/>
      <c r="S213" s="772"/>
      <c r="T213" s="779">
        <v>-2.1</v>
      </c>
      <c r="U213" s="779">
        <v>-1.6314063400000001</v>
      </c>
      <c r="V213" s="779">
        <v>-1.3057085400000001</v>
      </c>
      <c r="W213" s="779">
        <v>-0.92140638000000019</v>
      </c>
      <c r="X213" s="779">
        <v>0</v>
      </c>
      <c r="Y213" s="779">
        <v>0</v>
      </c>
      <c r="Z213" s="779">
        <v>0</v>
      </c>
      <c r="AA213" s="779">
        <v>0</v>
      </c>
      <c r="AB213" s="779">
        <v>0</v>
      </c>
      <c r="AC213" s="779">
        <v>0</v>
      </c>
    </row>
    <row r="214" spans="2:29" outlineLevel="1">
      <c r="B214" s="775" t="s">
        <v>1029</v>
      </c>
      <c r="C214" s="739" t="s">
        <v>1311</v>
      </c>
      <c r="D214" s="739">
        <v>44397</v>
      </c>
      <c r="E214" s="739">
        <v>50538</v>
      </c>
      <c r="F214" s="739" t="s">
        <v>1312</v>
      </c>
      <c r="G214" s="739" t="s">
        <v>137</v>
      </c>
      <c r="H214" s="739" t="s">
        <v>137</v>
      </c>
      <c r="I214" s="750">
        <v>-15</v>
      </c>
      <c r="J214" s="750" t="s">
        <v>1219</v>
      </c>
      <c r="K214" s="739" t="s">
        <v>125</v>
      </c>
      <c r="L214" s="750">
        <v>0.06</v>
      </c>
      <c r="M214" s="739" t="s">
        <v>129</v>
      </c>
      <c r="N214" s="739" t="s">
        <v>126</v>
      </c>
      <c r="O214" s="742">
        <v>1.4767000000000001E-2</v>
      </c>
      <c r="P214" s="739" t="s">
        <v>1063</v>
      </c>
      <c r="Q214" s="814" t="s">
        <v>154</v>
      </c>
      <c r="R214" s="772"/>
      <c r="S214" s="772"/>
      <c r="T214" s="779">
        <v>-6.5</v>
      </c>
      <c r="U214" s="779">
        <v>-6.0542781999999997</v>
      </c>
      <c r="V214" s="779">
        <v>-5.7308285999999997</v>
      </c>
      <c r="W214" s="779">
        <v>-5.3560510799999994</v>
      </c>
      <c r="X214" s="779">
        <v>-4.9406234199999997</v>
      </c>
      <c r="Y214" s="779">
        <v>-4.5026053799999994</v>
      </c>
      <c r="Z214" s="779">
        <v>-4.0432798599999993</v>
      </c>
      <c r="AA214" s="779">
        <v>-3.5695679299999994</v>
      </c>
      <c r="AB214" s="779">
        <v>-3.0969495899999995</v>
      </c>
      <c r="AC214" s="779">
        <v>-2.6293605499999995</v>
      </c>
    </row>
    <row r="215" spans="2:29" outlineLevel="1">
      <c r="B215" s="775" t="s">
        <v>1030</v>
      </c>
      <c r="C215" s="739" t="s">
        <v>1313</v>
      </c>
      <c r="D215" s="739">
        <v>44397</v>
      </c>
      <c r="E215" s="739">
        <v>50538</v>
      </c>
      <c r="F215" s="739" t="s">
        <v>1314</v>
      </c>
      <c r="G215" s="739" t="s">
        <v>137</v>
      </c>
      <c r="H215" s="739" t="s">
        <v>137</v>
      </c>
      <c r="I215" s="750">
        <v>-15</v>
      </c>
      <c r="J215" s="750" t="s">
        <v>1219</v>
      </c>
      <c r="K215" s="739" t="s">
        <v>125</v>
      </c>
      <c r="L215" s="750">
        <v>0.06</v>
      </c>
      <c r="M215" s="739" t="s">
        <v>129</v>
      </c>
      <c r="N215" s="739" t="s">
        <v>126</v>
      </c>
      <c r="O215" s="742">
        <v>1.4463E-2</v>
      </c>
      <c r="P215" s="739" t="s">
        <v>1063</v>
      </c>
      <c r="Q215" s="814" t="s">
        <v>1065</v>
      </c>
      <c r="R215" s="772"/>
      <c r="S215" s="772"/>
      <c r="T215" s="779">
        <v>-6.7</v>
      </c>
      <c r="U215" s="779">
        <v>-6.2497307000000006</v>
      </c>
      <c r="V215" s="779">
        <v>-5.9217086100000005</v>
      </c>
      <c r="W215" s="779">
        <v>-5.5423710900000005</v>
      </c>
      <c r="X215" s="779">
        <v>-5.1223834300000002</v>
      </c>
      <c r="Y215" s="779">
        <v>-4.6798053900000003</v>
      </c>
      <c r="Z215" s="779">
        <v>-4.21590738</v>
      </c>
      <c r="AA215" s="779">
        <v>-3.73763545</v>
      </c>
      <c r="AB215" s="779">
        <v>-3.2604571</v>
      </c>
      <c r="AC215" s="779">
        <v>-2.7883080599999999</v>
      </c>
    </row>
    <row r="216" spans="2:29" outlineLevel="1">
      <c r="B216" s="775" t="s">
        <v>1031</v>
      </c>
      <c r="C216" s="739" t="s">
        <v>1315</v>
      </c>
      <c r="D216" s="739">
        <v>44397</v>
      </c>
      <c r="E216" s="739">
        <v>50538</v>
      </c>
      <c r="F216" s="739" t="s">
        <v>1316</v>
      </c>
      <c r="G216" s="739" t="s">
        <v>137</v>
      </c>
      <c r="H216" s="739" t="s">
        <v>137</v>
      </c>
      <c r="I216" s="750">
        <v>-18</v>
      </c>
      <c r="J216" s="750" t="s">
        <v>1219</v>
      </c>
      <c r="K216" s="739" t="s">
        <v>125</v>
      </c>
      <c r="L216" s="750">
        <v>0.06</v>
      </c>
      <c r="M216" s="739" t="s">
        <v>129</v>
      </c>
      <c r="N216" s="739" t="s">
        <v>126</v>
      </c>
      <c r="O216" s="742">
        <v>2.3720000000000001E-2</v>
      </c>
      <c r="P216" s="739" t="s">
        <v>1063</v>
      </c>
      <c r="Q216" s="814" t="s">
        <v>154</v>
      </c>
      <c r="R216" s="360"/>
      <c r="S216" s="360"/>
      <c r="T216" s="779">
        <v>-5.6</v>
      </c>
      <c r="U216" s="779">
        <v>-5.2258463299999995</v>
      </c>
      <c r="V216" s="779">
        <v>-4.9993023299999999</v>
      </c>
      <c r="W216" s="779">
        <v>-4.7107233099999997</v>
      </c>
      <c r="X216" s="779">
        <v>-4.3733641199999997</v>
      </c>
      <c r="Y216" s="779">
        <v>-4.0088964699999998</v>
      </c>
      <c r="Z216" s="779">
        <v>-3.6193013599999997</v>
      </c>
      <c r="AA216" s="779">
        <v>-3.2120010499999996</v>
      </c>
      <c r="AB216" s="779">
        <v>-2.8060130399999994</v>
      </c>
      <c r="AC216" s="779">
        <v>-2.4060601899999994</v>
      </c>
    </row>
    <row r="217" spans="2:29" outlineLevel="1">
      <c r="B217" s="775" t="s">
        <v>1032</v>
      </c>
      <c r="C217" s="739" t="s">
        <v>1317</v>
      </c>
      <c r="D217" s="739">
        <v>44397</v>
      </c>
      <c r="E217" s="739">
        <v>50538</v>
      </c>
      <c r="F217" s="739" t="s">
        <v>1318</v>
      </c>
      <c r="G217" s="739" t="s">
        <v>137</v>
      </c>
      <c r="H217" s="739" t="s">
        <v>137</v>
      </c>
      <c r="I217" s="750">
        <v>-13</v>
      </c>
      <c r="J217" s="750" t="s">
        <v>1219</v>
      </c>
      <c r="K217" s="739" t="s">
        <v>125</v>
      </c>
      <c r="L217" s="750">
        <v>0.06</v>
      </c>
      <c r="M217" s="739" t="s">
        <v>129</v>
      </c>
      <c r="N217" s="739" t="s">
        <v>126</v>
      </c>
      <c r="O217" s="742">
        <v>2.4055E-2</v>
      </c>
      <c r="P217" s="739" t="s">
        <v>1063</v>
      </c>
      <c r="Q217" s="814" t="s">
        <v>1072</v>
      </c>
      <c r="R217" s="360"/>
      <c r="S217" s="360"/>
      <c r="T217" s="779">
        <v>-4</v>
      </c>
      <c r="U217" s="779">
        <v>-3.7341209700000002</v>
      </c>
      <c r="V217" s="779">
        <v>-3.5748727900000001</v>
      </c>
      <c r="W217" s="779">
        <v>-3.3708096100000002</v>
      </c>
      <c r="X217" s="779">
        <v>-3.1315163100000003</v>
      </c>
      <c r="Y217" s="779">
        <v>-2.8726446800000005</v>
      </c>
      <c r="Z217" s="779">
        <v>-2.5956373700000004</v>
      </c>
      <c r="AA217" s="779">
        <v>-2.3058310300000002</v>
      </c>
      <c r="AB217" s="779">
        <v>-2.0169724600000003</v>
      </c>
      <c r="AC217" s="779">
        <v>-1.7324726200000002</v>
      </c>
    </row>
    <row r="218" spans="2:29" outlineLevel="1">
      <c r="B218" s="775" t="s">
        <v>1033</v>
      </c>
      <c r="C218" s="739" t="s">
        <v>1319</v>
      </c>
      <c r="D218" s="739">
        <v>44397</v>
      </c>
      <c r="E218" s="739">
        <v>47200</v>
      </c>
      <c r="F218" s="739" t="s">
        <v>1320</v>
      </c>
      <c r="G218" s="739" t="s">
        <v>137</v>
      </c>
      <c r="H218" s="739" t="s">
        <v>137</v>
      </c>
      <c r="I218" s="750">
        <v>-52.207999999999998</v>
      </c>
      <c r="J218" s="750" t="s">
        <v>1219</v>
      </c>
      <c r="K218" s="739" t="s">
        <v>126</v>
      </c>
      <c r="L218" s="750">
        <v>4.1720000000000004E-3</v>
      </c>
      <c r="M218" s="739" t="s">
        <v>1063</v>
      </c>
      <c r="N218" s="739" t="s">
        <v>125</v>
      </c>
      <c r="O218" s="742">
        <v>1.7950000000000001E-2</v>
      </c>
      <c r="P218" s="739" t="s">
        <v>129</v>
      </c>
      <c r="Q218" s="814" t="s">
        <v>1072</v>
      </c>
      <c r="R218" s="360"/>
      <c r="S218" s="360"/>
      <c r="T218" s="779">
        <v>-1.2</v>
      </c>
      <c r="U218" s="779">
        <v>-1.11413457</v>
      </c>
      <c r="V218" s="779">
        <v>-0.57612697000000002</v>
      </c>
      <c r="W218" s="779">
        <v>-0.24700931999999998</v>
      </c>
      <c r="X218" s="779">
        <v>-5.5988679999999957E-2</v>
      </c>
      <c r="Y218" s="779">
        <v>6.0358770000000034E-2</v>
      </c>
      <c r="Z218" s="779">
        <v>9.8688320000000038E-2</v>
      </c>
      <c r="AA218" s="779">
        <v>0</v>
      </c>
      <c r="AB218" s="779">
        <v>0</v>
      </c>
      <c r="AC218" s="779">
        <v>0</v>
      </c>
    </row>
    <row r="219" spans="2:29" outlineLevel="1">
      <c r="B219" s="775" t="s">
        <v>1034</v>
      </c>
      <c r="C219" s="739" t="s">
        <v>1321</v>
      </c>
      <c r="D219" s="739">
        <v>44439</v>
      </c>
      <c r="E219" s="739">
        <v>47434</v>
      </c>
      <c r="F219" s="739" t="s">
        <v>1322</v>
      </c>
      <c r="G219" s="739" t="s">
        <v>137</v>
      </c>
      <c r="H219" s="739" t="s">
        <v>137</v>
      </c>
      <c r="I219" s="750">
        <v>-10</v>
      </c>
      <c r="J219" s="750" t="s">
        <v>1219</v>
      </c>
      <c r="K219" s="739" t="s">
        <v>126</v>
      </c>
      <c r="L219" s="750">
        <v>6.5339999999999999E-3</v>
      </c>
      <c r="M219" s="739" t="s">
        <v>1063</v>
      </c>
      <c r="N219" s="739" t="s">
        <v>125</v>
      </c>
      <c r="O219" s="742">
        <v>5.6349999999999997E-2</v>
      </c>
      <c r="P219" s="739" t="s">
        <v>129</v>
      </c>
      <c r="Q219" s="814" t="s">
        <v>154</v>
      </c>
      <c r="R219" s="772"/>
      <c r="S219" s="772"/>
      <c r="T219" s="779">
        <v>2.4</v>
      </c>
      <c r="U219" s="779">
        <v>2.0571794799999998</v>
      </c>
      <c r="V219" s="779">
        <v>1.7942705199999998</v>
      </c>
      <c r="W219" s="779">
        <v>1.4983128699999997</v>
      </c>
      <c r="X219" s="779">
        <v>1.1756852599999996</v>
      </c>
      <c r="Y219" s="779">
        <v>0.83784404999999962</v>
      </c>
      <c r="Z219" s="779">
        <v>0.48436229999999963</v>
      </c>
      <c r="AA219" s="779">
        <v>0.12223936999999963</v>
      </c>
      <c r="AB219" s="779">
        <v>0</v>
      </c>
      <c r="AC219" s="779">
        <v>0</v>
      </c>
    </row>
    <row r="220" spans="2:29" outlineLevel="1">
      <c r="B220" s="775" t="s">
        <v>1035</v>
      </c>
      <c r="C220" s="739" t="s">
        <v>1323</v>
      </c>
      <c r="D220" s="739">
        <v>44439</v>
      </c>
      <c r="E220" s="739">
        <v>47434</v>
      </c>
      <c r="F220" s="739" t="s">
        <v>1324</v>
      </c>
      <c r="G220" s="739" t="s">
        <v>137</v>
      </c>
      <c r="H220" s="739" t="s">
        <v>137</v>
      </c>
      <c r="I220" s="750">
        <v>-9.75</v>
      </c>
      <c r="J220" s="750" t="s">
        <v>1219</v>
      </c>
      <c r="K220" s="739" t="s">
        <v>126</v>
      </c>
      <c r="L220" s="750">
        <v>6.535E-3</v>
      </c>
      <c r="M220" s="739" t="s">
        <v>1063</v>
      </c>
      <c r="N220" s="739" t="s">
        <v>125</v>
      </c>
      <c r="O220" s="742">
        <v>5.6425000000000003E-2</v>
      </c>
      <c r="P220" s="739" t="s">
        <v>129</v>
      </c>
      <c r="Q220" s="814" t="s">
        <v>1068</v>
      </c>
      <c r="R220" s="772"/>
      <c r="S220" s="772"/>
      <c r="T220" s="779">
        <v>2.4</v>
      </c>
      <c r="U220" s="779">
        <v>2.06503046</v>
      </c>
      <c r="V220" s="779">
        <v>1.80797075</v>
      </c>
      <c r="W220" s="779">
        <v>1.5186905399999999</v>
      </c>
      <c r="X220" s="779">
        <v>1.2034071200000001</v>
      </c>
      <c r="Y220" s="779">
        <v>0.87329044000000011</v>
      </c>
      <c r="Z220" s="779">
        <v>0.5279222600000002</v>
      </c>
      <c r="AA220" s="779">
        <v>0.17413091000000019</v>
      </c>
      <c r="AB220" s="779">
        <v>0</v>
      </c>
      <c r="AC220" s="779">
        <v>0</v>
      </c>
    </row>
    <row r="221" spans="2:29" outlineLevel="1">
      <c r="B221" s="775" t="s">
        <v>1036</v>
      </c>
      <c r="C221" s="739" t="s">
        <v>1325</v>
      </c>
      <c r="D221" s="739">
        <v>44397</v>
      </c>
      <c r="E221" s="739">
        <v>50538</v>
      </c>
      <c r="F221" s="739" t="s">
        <v>1326</v>
      </c>
      <c r="G221" s="739" t="s">
        <v>137</v>
      </c>
      <c r="H221" s="739" t="s">
        <v>137</v>
      </c>
      <c r="I221" s="750">
        <v>-18</v>
      </c>
      <c r="J221" s="750" t="s">
        <v>1299</v>
      </c>
      <c r="K221" s="739" t="s">
        <v>126</v>
      </c>
      <c r="L221" s="750">
        <v>5.0090000000000003E-2</v>
      </c>
      <c r="M221" s="739" t="s">
        <v>1063</v>
      </c>
      <c r="N221" s="739" t="s">
        <v>125</v>
      </c>
      <c r="O221" s="742">
        <v>0.06</v>
      </c>
      <c r="P221" s="739" t="s">
        <v>129</v>
      </c>
      <c r="Q221" s="814" t="s">
        <v>1073</v>
      </c>
      <c r="R221" s="360"/>
      <c r="S221" s="360"/>
      <c r="T221" s="779">
        <v>0</v>
      </c>
      <c r="U221" s="779">
        <v>0</v>
      </c>
      <c r="V221" s="779">
        <v>0</v>
      </c>
      <c r="W221" s="779">
        <v>0</v>
      </c>
      <c r="X221" s="779">
        <v>0</v>
      </c>
      <c r="Y221" s="779">
        <v>0</v>
      </c>
      <c r="Z221" s="779">
        <v>0</v>
      </c>
      <c r="AA221" s="779">
        <v>0</v>
      </c>
      <c r="AB221" s="779">
        <v>0</v>
      </c>
      <c r="AC221" s="779">
        <v>0</v>
      </c>
    </row>
    <row r="222" spans="2:29" outlineLevel="1">
      <c r="B222" s="775" t="s">
        <v>1037</v>
      </c>
      <c r="C222" s="739" t="s">
        <v>1327</v>
      </c>
      <c r="D222" s="739">
        <v>44439</v>
      </c>
      <c r="E222" s="739">
        <v>47434</v>
      </c>
      <c r="F222" s="739" t="s">
        <v>1328</v>
      </c>
      <c r="G222" s="739" t="s">
        <v>137</v>
      </c>
      <c r="H222" s="739" t="s">
        <v>137</v>
      </c>
      <c r="I222" s="750">
        <v>-12.5</v>
      </c>
      <c r="J222" s="750" t="s">
        <v>1219</v>
      </c>
      <c r="K222" s="739" t="s">
        <v>126</v>
      </c>
      <c r="L222" s="750">
        <v>6.535E-3</v>
      </c>
      <c r="M222" s="739" t="s">
        <v>1063</v>
      </c>
      <c r="N222" s="739" t="s">
        <v>125</v>
      </c>
      <c r="O222" s="742">
        <v>5.8450000000000002E-2</v>
      </c>
      <c r="P222" s="739" t="s">
        <v>129</v>
      </c>
      <c r="Q222" s="814" t="s">
        <v>1074</v>
      </c>
      <c r="R222" s="360"/>
      <c r="S222" s="360"/>
      <c r="T222" s="779">
        <v>0</v>
      </c>
      <c r="U222" s="779">
        <v>0</v>
      </c>
      <c r="V222" s="779">
        <v>0</v>
      </c>
      <c r="W222" s="779">
        <v>0</v>
      </c>
      <c r="X222" s="779">
        <v>0</v>
      </c>
      <c r="Y222" s="779">
        <v>0</v>
      </c>
      <c r="Z222" s="779">
        <v>0</v>
      </c>
      <c r="AA222" s="779">
        <v>0</v>
      </c>
      <c r="AB222" s="779">
        <v>0</v>
      </c>
      <c r="AC222" s="779">
        <v>0</v>
      </c>
    </row>
    <row r="223" spans="2:29" outlineLevel="1">
      <c r="B223" s="775" t="s">
        <v>1038</v>
      </c>
      <c r="C223" s="739" t="s">
        <v>1329</v>
      </c>
      <c r="D223" s="739">
        <v>44439</v>
      </c>
      <c r="E223" s="739">
        <v>47434</v>
      </c>
      <c r="F223" s="739" t="s">
        <v>1330</v>
      </c>
      <c r="G223" s="739" t="s">
        <v>137</v>
      </c>
      <c r="H223" s="739" t="s">
        <v>137</v>
      </c>
      <c r="I223" s="750">
        <v>-23.774999999999999</v>
      </c>
      <c r="J223" s="750" t="s">
        <v>1219</v>
      </c>
      <c r="K223" s="739" t="s">
        <v>126</v>
      </c>
      <c r="L223" s="750">
        <v>6.5209999999999999E-3</v>
      </c>
      <c r="M223" s="739" t="s">
        <v>1063</v>
      </c>
      <c r="N223" s="739" t="s">
        <v>125</v>
      </c>
      <c r="O223" s="742">
        <v>1.9599999999999999E-2</v>
      </c>
      <c r="P223" s="739" t="s">
        <v>129</v>
      </c>
      <c r="Q223" s="814" t="s">
        <v>1071</v>
      </c>
      <c r="R223" s="360"/>
      <c r="S223" s="360"/>
      <c r="T223" s="779">
        <v>0</v>
      </c>
      <c r="U223" s="779">
        <v>0</v>
      </c>
      <c r="V223" s="779">
        <v>0</v>
      </c>
      <c r="W223" s="779">
        <v>0</v>
      </c>
      <c r="X223" s="779">
        <v>0</v>
      </c>
      <c r="Y223" s="779">
        <v>0</v>
      </c>
      <c r="Z223" s="779">
        <v>0</v>
      </c>
      <c r="AA223" s="779">
        <v>0</v>
      </c>
      <c r="AB223" s="779">
        <v>0</v>
      </c>
      <c r="AC223" s="779">
        <v>0</v>
      </c>
    </row>
    <row r="224" spans="2:29" outlineLevel="1">
      <c r="B224" s="775" t="s">
        <v>1039</v>
      </c>
      <c r="C224" s="739" t="s">
        <v>1331</v>
      </c>
      <c r="D224" s="739">
        <v>39647</v>
      </c>
      <c r="E224" s="739">
        <v>50538</v>
      </c>
      <c r="F224" s="739" t="s">
        <v>1332</v>
      </c>
      <c r="G224" s="739" t="s">
        <v>137</v>
      </c>
      <c r="H224" s="739" t="s">
        <v>137</v>
      </c>
      <c r="I224" s="750">
        <v>-15</v>
      </c>
      <c r="J224" s="750" t="s">
        <v>1219</v>
      </c>
      <c r="K224" s="739" t="s">
        <v>125</v>
      </c>
      <c r="L224" s="750">
        <v>0.06</v>
      </c>
      <c r="M224" s="739" t="s">
        <v>129</v>
      </c>
      <c r="N224" s="739" t="s">
        <v>126</v>
      </c>
      <c r="O224" s="742">
        <v>1.2035000000000001E-2</v>
      </c>
      <c r="P224" s="739" t="s">
        <v>131</v>
      </c>
      <c r="Q224" s="814" t="s">
        <v>154</v>
      </c>
      <c r="R224" s="360"/>
      <c r="S224" s="360"/>
      <c r="T224" s="779">
        <v>0</v>
      </c>
      <c r="U224" s="779">
        <v>0</v>
      </c>
      <c r="V224" s="779">
        <v>0</v>
      </c>
      <c r="W224" s="779">
        <v>0</v>
      </c>
      <c r="X224" s="779">
        <v>0</v>
      </c>
      <c r="Y224" s="779">
        <v>0</v>
      </c>
      <c r="Z224" s="779">
        <v>0</v>
      </c>
      <c r="AA224" s="779">
        <v>0</v>
      </c>
      <c r="AB224" s="779">
        <v>0</v>
      </c>
      <c r="AC224" s="779">
        <v>0</v>
      </c>
    </row>
    <row r="225" spans="2:29" outlineLevel="1">
      <c r="B225" s="775" t="s">
        <v>1040</v>
      </c>
      <c r="C225" s="739" t="s">
        <v>1333</v>
      </c>
      <c r="D225" s="739">
        <v>39647</v>
      </c>
      <c r="E225" s="739">
        <v>50538</v>
      </c>
      <c r="F225" s="739" t="s">
        <v>1334</v>
      </c>
      <c r="G225" s="739" t="s">
        <v>137</v>
      </c>
      <c r="H225" s="739" t="s">
        <v>137</v>
      </c>
      <c r="I225" s="750">
        <v>-15</v>
      </c>
      <c r="J225" s="750" t="s">
        <v>1219</v>
      </c>
      <c r="K225" s="739" t="s">
        <v>125</v>
      </c>
      <c r="L225" s="750">
        <v>0.06</v>
      </c>
      <c r="M225" s="739" t="s">
        <v>129</v>
      </c>
      <c r="N225" s="739" t="s">
        <v>126</v>
      </c>
      <c r="O225" s="742">
        <v>1.1735000000000001E-2</v>
      </c>
      <c r="P225" s="739" t="s">
        <v>131</v>
      </c>
      <c r="Q225" s="814" t="s">
        <v>1065</v>
      </c>
      <c r="R225" s="360"/>
      <c r="S225" s="360"/>
      <c r="T225" s="779">
        <v>0</v>
      </c>
      <c r="U225" s="779">
        <v>0</v>
      </c>
      <c r="V225" s="779">
        <v>0</v>
      </c>
      <c r="W225" s="779">
        <v>0</v>
      </c>
      <c r="X225" s="779">
        <v>0</v>
      </c>
      <c r="Y225" s="779">
        <v>0</v>
      </c>
      <c r="Z225" s="779">
        <v>0</v>
      </c>
      <c r="AA225" s="779">
        <v>0</v>
      </c>
      <c r="AB225" s="779">
        <v>0</v>
      </c>
      <c r="AC225" s="779">
        <v>0</v>
      </c>
    </row>
    <row r="226" spans="2:29">
      <c r="F226" s="117"/>
      <c r="G226" s="117"/>
      <c r="H226" s="117"/>
      <c r="I226" s="117"/>
      <c r="S226" s="537" t="s">
        <v>497</v>
      </c>
      <c r="T226" s="780">
        <f t="shared" ref="T226:AC226" si="8">SUM(T190:T225)</f>
        <v>-7.2999999999999972</v>
      </c>
      <c r="U226" s="780">
        <f t="shared" si="8"/>
        <v>-7.3770013600000022</v>
      </c>
      <c r="V226" s="780">
        <f t="shared" si="8"/>
        <v>-8.6735842900000009</v>
      </c>
      <c r="W226" s="780">
        <f t="shared" si="8"/>
        <v>-9.483001269999999</v>
      </c>
      <c r="X226" s="780">
        <f t="shared" si="8"/>
        <v>-9.4447597099999996</v>
      </c>
      <c r="Y226" s="780">
        <f t="shared" si="8"/>
        <v>-10.146560879999999</v>
      </c>
      <c r="Z226" s="780">
        <f t="shared" si="8"/>
        <v>-10.694681989999999</v>
      </c>
      <c r="AA226" s="780">
        <f t="shared" si="8"/>
        <v>-11.219369069999999</v>
      </c>
      <c r="AB226" s="780">
        <f t="shared" si="8"/>
        <v>-11.239609879999998</v>
      </c>
      <c r="AC226" s="780">
        <f t="shared" si="8"/>
        <v>-9.5562014200000007</v>
      </c>
    </row>
    <row r="227" spans="2:29" outlineLevel="1">
      <c r="B227" s="731" t="s">
        <v>397</v>
      </c>
      <c r="C227" s="1088" t="s">
        <v>705</v>
      </c>
      <c r="D227" s="1088"/>
      <c r="E227" s="1088"/>
      <c r="F227" s="1088"/>
      <c r="G227" s="1088"/>
      <c r="H227" s="1088"/>
      <c r="I227" s="1088"/>
      <c r="J227" s="1088"/>
      <c r="K227" s="1088"/>
      <c r="L227" s="1088"/>
      <c r="M227" s="1088"/>
      <c r="N227" s="1088"/>
      <c r="O227" s="1088"/>
      <c r="P227" s="1088"/>
      <c r="Q227" s="1088"/>
      <c r="S227" s="101"/>
      <c r="T227" s="781"/>
      <c r="U227" s="781"/>
      <c r="V227" s="781"/>
      <c r="W227" s="781"/>
      <c r="X227" s="781"/>
      <c r="Y227" s="781"/>
      <c r="Z227" s="781"/>
      <c r="AA227" s="781"/>
      <c r="AB227" s="782"/>
      <c r="AC227" s="781"/>
    </row>
    <row r="228" spans="2:29" outlineLevel="1">
      <c r="B228" s="778" t="s">
        <v>488</v>
      </c>
      <c r="C228" s="1084" t="s">
        <v>1335</v>
      </c>
      <c r="D228" s="1084"/>
      <c r="E228" s="1084"/>
      <c r="F228" s="1084"/>
      <c r="G228" s="1084"/>
      <c r="H228" s="1084"/>
      <c r="I228" s="1084"/>
      <c r="J228" s="1084"/>
      <c r="K228" s="1084"/>
      <c r="L228" s="1084"/>
      <c r="M228" s="1084"/>
      <c r="N228" s="1084"/>
      <c r="O228" s="1084"/>
      <c r="P228" s="1084"/>
      <c r="Q228" s="1084"/>
      <c r="S228" s="119"/>
      <c r="T228" s="781"/>
      <c r="U228" s="781"/>
      <c r="V228" s="781"/>
      <c r="W228" s="781"/>
      <c r="X228" s="781"/>
      <c r="Y228" s="781"/>
      <c r="Z228" s="781"/>
      <c r="AA228" s="781"/>
      <c r="AB228" s="782"/>
      <c r="AC228" s="781"/>
    </row>
    <row r="229" spans="2:29" outlineLevel="1">
      <c r="B229" s="775" t="s">
        <v>489</v>
      </c>
      <c r="C229" s="1084" t="s">
        <v>1335</v>
      </c>
      <c r="D229" s="1084"/>
      <c r="E229" s="1084"/>
      <c r="F229" s="1084"/>
      <c r="G229" s="1084"/>
      <c r="H229" s="1084"/>
      <c r="I229" s="1084"/>
      <c r="J229" s="1084"/>
      <c r="K229" s="1084"/>
      <c r="L229" s="1084"/>
      <c r="M229" s="1084"/>
      <c r="N229" s="1084"/>
      <c r="O229" s="1084"/>
      <c r="P229" s="1084"/>
      <c r="Q229" s="1084"/>
      <c r="S229" s="119"/>
      <c r="T229" s="781"/>
      <c r="U229" s="781"/>
      <c r="V229" s="781"/>
      <c r="W229" s="781"/>
      <c r="X229" s="781"/>
      <c r="Y229" s="781"/>
      <c r="Z229" s="781"/>
      <c r="AA229" s="781"/>
      <c r="AB229" s="782"/>
      <c r="AC229" s="781"/>
    </row>
    <row r="230" spans="2:29" outlineLevel="1">
      <c r="B230" s="775" t="s">
        <v>491</v>
      </c>
      <c r="C230" s="1084" t="s">
        <v>1336</v>
      </c>
      <c r="D230" s="1084"/>
      <c r="E230" s="1084"/>
      <c r="F230" s="1084"/>
      <c r="G230" s="1084"/>
      <c r="H230" s="1084"/>
      <c r="I230" s="1084"/>
      <c r="J230" s="1084"/>
      <c r="K230" s="1084"/>
      <c r="L230" s="1084"/>
      <c r="M230" s="1084"/>
      <c r="N230" s="1084"/>
      <c r="O230" s="1084"/>
      <c r="P230" s="1084"/>
      <c r="Q230" s="1084"/>
      <c r="S230" s="119"/>
      <c r="T230" s="781"/>
      <c r="U230" s="781"/>
      <c r="V230" s="781"/>
      <c r="W230" s="781"/>
      <c r="X230" s="781"/>
      <c r="Y230" s="781"/>
      <c r="Z230" s="781"/>
      <c r="AA230" s="781"/>
      <c r="AB230" s="782"/>
      <c r="AC230" s="781"/>
    </row>
    <row r="231" spans="2:29" outlineLevel="1">
      <c r="B231" s="775" t="s">
        <v>494</v>
      </c>
      <c r="C231" s="1084" t="s">
        <v>1337</v>
      </c>
      <c r="D231" s="1084"/>
      <c r="E231" s="1084"/>
      <c r="F231" s="1084"/>
      <c r="G231" s="1084"/>
      <c r="H231" s="1084"/>
      <c r="I231" s="1084"/>
      <c r="J231" s="1084"/>
      <c r="K231" s="1084"/>
      <c r="L231" s="1084"/>
      <c r="M231" s="1084"/>
      <c r="N231" s="1084"/>
      <c r="O231" s="1084"/>
      <c r="P231" s="1084"/>
      <c r="Q231" s="1084"/>
      <c r="S231" s="119"/>
      <c r="T231" s="781"/>
      <c r="U231" s="781"/>
      <c r="V231" s="781"/>
      <c r="W231" s="781"/>
      <c r="X231" s="781"/>
      <c r="Y231" s="781"/>
      <c r="Z231" s="781"/>
      <c r="AA231" s="781"/>
      <c r="AB231" s="782"/>
      <c r="AC231" s="781"/>
    </row>
    <row r="232" spans="2:29" outlineLevel="1">
      <c r="B232" s="775" t="s">
        <v>495</v>
      </c>
      <c r="C232" s="1084" t="s">
        <v>1337</v>
      </c>
      <c r="D232" s="1084"/>
      <c r="E232" s="1084"/>
      <c r="F232" s="1084"/>
      <c r="G232" s="1084"/>
      <c r="H232" s="1084"/>
      <c r="I232" s="1084"/>
      <c r="J232" s="1084"/>
      <c r="K232" s="1084"/>
      <c r="L232" s="1084"/>
      <c r="M232" s="1084"/>
      <c r="N232" s="1084"/>
      <c r="O232" s="1084"/>
      <c r="P232" s="1084"/>
      <c r="Q232" s="1084"/>
      <c r="S232" s="119"/>
      <c r="T232" s="781"/>
      <c r="U232" s="781"/>
      <c r="V232" s="781"/>
      <c r="W232" s="781"/>
      <c r="X232" s="781"/>
      <c r="Y232" s="781"/>
      <c r="Z232" s="781"/>
      <c r="AA232" s="781"/>
      <c r="AB232" s="782"/>
      <c r="AC232" s="781"/>
    </row>
    <row r="233" spans="2:29" outlineLevel="1">
      <c r="B233" s="775" t="s">
        <v>1041</v>
      </c>
      <c r="C233" s="1084" t="s">
        <v>1338</v>
      </c>
      <c r="D233" s="1084"/>
      <c r="E233" s="1084"/>
      <c r="F233" s="1084"/>
      <c r="G233" s="1084"/>
      <c r="H233" s="1084"/>
      <c r="I233" s="1084"/>
      <c r="J233" s="1084"/>
      <c r="K233" s="1084"/>
      <c r="L233" s="1084"/>
      <c r="M233" s="1084"/>
      <c r="N233" s="1084"/>
      <c r="O233" s="1084"/>
      <c r="P233" s="1084"/>
      <c r="Q233" s="1084"/>
      <c r="S233" s="119"/>
      <c r="T233" s="781"/>
      <c r="U233" s="781"/>
      <c r="V233" s="781"/>
      <c r="W233" s="781"/>
      <c r="X233" s="781"/>
      <c r="Y233" s="781"/>
      <c r="Z233" s="781"/>
      <c r="AA233" s="781"/>
      <c r="AB233" s="782"/>
      <c r="AC233" s="781"/>
    </row>
    <row r="234" spans="2:29" outlineLevel="1">
      <c r="B234" s="775" t="s">
        <v>1042</v>
      </c>
      <c r="C234" s="1084" t="s">
        <v>1338</v>
      </c>
      <c r="D234" s="1084"/>
      <c r="E234" s="1084"/>
      <c r="F234" s="1084"/>
      <c r="G234" s="1084"/>
      <c r="H234" s="1084"/>
      <c r="I234" s="1084"/>
      <c r="J234" s="1084"/>
      <c r="K234" s="1084"/>
      <c r="L234" s="1084"/>
      <c r="M234" s="1084"/>
      <c r="N234" s="1084"/>
      <c r="O234" s="1084"/>
      <c r="P234" s="1084"/>
      <c r="Q234" s="1084"/>
      <c r="S234" s="119"/>
      <c r="T234" s="781"/>
      <c r="U234" s="781"/>
      <c r="V234" s="781"/>
      <c r="W234" s="781"/>
      <c r="X234" s="781"/>
      <c r="Y234" s="781"/>
      <c r="Z234" s="781"/>
      <c r="AA234" s="781"/>
      <c r="AB234" s="782"/>
      <c r="AC234" s="781"/>
    </row>
    <row r="235" spans="2:29" outlineLevel="1">
      <c r="B235" s="775" t="s">
        <v>490</v>
      </c>
      <c r="C235" s="1084" t="s">
        <v>1339</v>
      </c>
      <c r="D235" s="1084"/>
      <c r="E235" s="1084"/>
      <c r="F235" s="1084"/>
      <c r="G235" s="1084"/>
      <c r="H235" s="1084"/>
      <c r="I235" s="1084"/>
      <c r="J235" s="1084"/>
      <c r="K235" s="1084"/>
      <c r="L235" s="1084"/>
      <c r="M235" s="1084"/>
      <c r="N235" s="1084"/>
      <c r="O235" s="1084"/>
      <c r="P235" s="1084"/>
      <c r="Q235" s="1084"/>
      <c r="S235" s="119"/>
      <c r="T235" s="781"/>
      <c r="U235" s="781"/>
      <c r="V235" s="781"/>
      <c r="W235" s="781"/>
      <c r="X235" s="781"/>
      <c r="Y235" s="781"/>
      <c r="Z235" s="781"/>
      <c r="AA235" s="781"/>
      <c r="AB235" s="782"/>
      <c r="AC235" s="781"/>
    </row>
    <row r="236" spans="2:29" outlineLevel="1">
      <c r="B236" s="775" t="s">
        <v>493</v>
      </c>
      <c r="C236" s="1084" t="s">
        <v>1340</v>
      </c>
      <c r="D236" s="1084"/>
      <c r="E236" s="1084"/>
      <c r="F236" s="1084"/>
      <c r="G236" s="1084"/>
      <c r="H236" s="1084"/>
      <c r="I236" s="1084"/>
      <c r="J236" s="1084"/>
      <c r="K236" s="1084"/>
      <c r="L236" s="1084"/>
      <c r="M236" s="1084"/>
      <c r="N236" s="1084"/>
      <c r="O236" s="1084"/>
      <c r="P236" s="1084"/>
      <c r="Q236" s="1084"/>
      <c r="S236" s="119"/>
      <c r="T236" s="781"/>
      <c r="U236" s="781"/>
      <c r="V236" s="781"/>
      <c r="W236" s="781"/>
      <c r="X236" s="781"/>
      <c r="Y236" s="781"/>
      <c r="Z236" s="781"/>
      <c r="AA236" s="781"/>
      <c r="AB236" s="782"/>
      <c r="AC236" s="781"/>
    </row>
    <row r="237" spans="2:29" outlineLevel="1">
      <c r="B237" s="775" t="s">
        <v>492</v>
      </c>
      <c r="C237" s="1084" t="s">
        <v>1340</v>
      </c>
      <c r="D237" s="1084"/>
      <c r="E237" s="1084"/>
      <c r="F237" s="1084"/>
      <c r="G237" s="1084"/>
      <c r="H237" s="1084"/>
      <c r="I237" s="1084"/>
      <c r="J237" s="1084"/>
      <c r="K237" s="1084"/>
      <c r="L237" s="1084"/>
      <c r="M237" s="1084"/>
      <c r="N237" s="1084"/>
      <c r="O237" s="1084"/>
      <c r="P237" s="1084"/>
      <c r="Q237" s="1084"/>
      <c r="S237" s="119"/>
      <c r="T237" s="781"/>
      <c r="U237" s="781"/>
      <c r="V237" s="781"/>
      <c r="W237" s="781"/>
      <c r="X237" s="781"/>
      <c r="Y237" s="781"/>
      <c r="Z237" s="781"/>
      <c r="AA237" s="781"/>
      <c r="AB237" s="782"/>
      <c r="AC237" s="781"/>
    </row>
    <row r="238" spans="2:29" outlineLevel="1">
      <c r="B238" s="775" t="s">
        <v>1043</v>
      </c>
      <c r="C238" s="1084" t="s">
        <v>1341</v>
      </c>
      <c r="D238" s="1084"/>
      <c r="E238" s="1084"/>
      <c r="F238" s="1084"/>
      <c r="G238" s="1084"/>
      <c r="H238" s="1084"/>
      <c r="I238" s="1084"/>
      <c r="J238" s="1084"/>
      <c r="K238" s="1084"/>
      <c r="L238" s="1084"/>
      <c r="M238" s="1084"/>
      <c r="N238" s="1084"/>
      <c r="O238" s="1084"/>
      <c r="P238" s="1084"/>
      <c r="Q238" s="1084"/>
      <c r="S238" s="119"/>
      <c r="T238" s="781"/>
      <c r="U238" s="781"/>
      <c r="V238" s="781"/>
      <c r="W238" s="781"/>
      <c r="X238" s="781"/>
      <c r="Y238" s="781"/>
      <c r="Z238" s="781"/>
      <c r="AA238" s="781"/>
      <c r="AB238" s="782"/>
      <c r="AC238" s="781"/>
    </row>
    <row r="239" spans="2:29" outlineLevel="1">
      <c r="B239" s="775" t="s">
        <v>1044</v>
      </c>
      <c r="C239" s="1084" t="s">
        <v>1341</v>
      </c>
      <c r="D239" s="1084"/>
      <c r="E239" s="1084"/>
      <c r="F239" s="1084"/>
      <c r="G239" s="1084"/>
      <c r="H239" s="1084"/>
      <c r="I239" s="1084"/>
      <c r="J239" s="1084"/>
      <c r="K239" s="1084"/>
      <c r="L239" s="1084"/>
      <c r="M239" s="1084"/>
      <c r="N239" s="1084"/>
      <c r="O239" s="1084"/>
      <c r="P239" s="1084"/>
      <c r="Q239" s="1084"/>
      <c r="S239" s="119"/>
      <c r="T239" s="781"/>
      <c r="U239" s="781"/>
      <c r="V239" s="781"/>
      <c r="W239" s="781"/>
      <c r="X239" s="781"/>
      <c r="Y239" s="781"/>
      <c r="Z239" s="781"/>
      <c r="AA239" s="781"/>
      <c r="AB239" s="782"/>
      <c r="AC239" s="781"/>
    </row>
    <row r="240" spans="2:29" outlineLevel="1">
      <c r="B240" s="775" t="s">
        <v>496</v>
      </c>
      <c r="C240" s="1084" t="s">
        <v>1341</v>
      </c>
      <c r="D240" s="1084"/>
      <c r="E240" s="1084"/>
      <c r="F240" s="1084"/>
      <c r="G240" s="1084"/>
      <c r="H240" s="1084"/>
      <c r="I240" s="1084"/>
      <c r="J240" s="1084"/>
      <c r="K240" s="1084"/>
      <c r="L240" s="1084"/>
      <c r="M240" s="1084"/>
      <c r="N240" s="1084"/>
      <c r="O240" s="1084"/>
      <c r="P240" s="1084"/>
      <c r="Q240" s="1084"/>
      <c r="S240" s="119"/>
      <c r="T240" s="781"/>
      <c r="U240" s="781"/>
      <c r="V240" s="781"/>
      <c r="W240" s="781"/>
      <c r="X240" s="781"/>
      <c r="Y240" s="781"/>
      <c r="Z240" s="781"/>
      <c r="AA240" s="781"/>
      <c r="AB240" s="782"/>
      <c r="AC240" s="781"/>
    </row>
    <row r="241" spans="2:29" outlineLevel="1">
      <c r="B241" s="775" t="s">
        <v>1045</v>
      </c>
      <c r="C241" s="1084" t="s">
        <v>1341</v>
      </c>
      <c r="D241" s="1084"/>
      <c r="E241" s="1084"/>
      <c r="F241" s="1084"/>
      <c r="G241" s="1084"/>
      <c r="H241" s="1084"/>
      <c r="I241" s="1084"/>
      <c r="J241" s="1084"/>
      <c r="K241" s="1084"/>
      <c r="L241" s="1084"/>
      <c r="M241" s="1084"/>
      <c r="N241" s="1084"/>
      <c r="O241" s="1084"/>
      <c r="P241" s="1084"/>
      <c r="Q241" s="1084"/>
      <c r="S241" s="119"/>
      <c r="T241" s="781"/>
      <c r="U241" s="781"/>
      <c r="V241" s="781"/>
      <c r="W241" s="781"/>
      <c r="X241" s="781"/>
      <c r="Y241" s="781"/>
      <c r="Z241" s="781"/>
      <c r="AA241" s="781"/>
      <c r="AB241" s="782"/>
      <c r="AC241" s="781"/>
    </row>
    <row r="242" spans="2:29" outlineLevel="1">
      <c r="B242" s="775" t="s">
        <v>1046</v>
      </c>
      <c r="C242" s="1084" t="s">
        <v>1341</v>
      </c>
      <c r="D242" s="1084"/>
      <c r="E242" s="1084"/>
      <c r="F242" s="1084"/>
      <c r="G242" s="1084"/>
      <c r="H242" s="1084"/>
      <c r="I242" s="1084"/>
      <c r="J242" s="1084"/>
      <c r="K242" s="1084"/>
      <c r="L242" s="1084"/>
      <c r="M242" s="1084"/>
      <c r="N242" s="1084"/>
      <c r="O242" s="1084"/>
      <c r="P242" s="1084"/>
      <c r="Q242" s="1084"/>
      <c r="S242" s="119"/>
      <c r="T242" s="781"/>
      <c r="U242" s="781"/>
      <c r="V242" s="781"/>
      <c r="W242" s="781"/>
      <c r="X242" s="781"/>
      <c r="Y242" s="781"/>
      <c r="Z242" s="781"/>
      <c r="AA242" s="781"/>
      <c r="AB242" s="782"/>
      <c r="AC242" s="781"/>
    </row>
    <row r="243" spans="2:29" outlineLevel="1">
      <c r="B243" s="775" t="s">
        <v>1047</v>
      </c>
      <c r="C243" s="1084" t="s">
        <v>1342</v>
      </c>
      <c r="D243" s="1084"/>
      <c r="E243" s="1084"/>
      <c r="F243" s="1084"/>
      <c r="G243" s="1084"/>
      <c r="H243" s="1084"/>
      <c r="I243" s="1084"/>
      <c r="J243" s="1084"/>
      <c r="K243" s="1084"/>
      <c r="L243" s="1084"/>
      <c r="M243" s="1084"/>
      <c r="N243" s="1084"/>
      <c r="O243" s="1084"/>
      <c r="P243" s="1084"/>
      <c r="Q243" s="1084"/>
      <c r="S243" s="119"/>
      <c r="T243" s="781"/>
      <c r="U243" s="781"/>
      <c r="V243" s="781"/>
      <c r="W243" s="781"/>
      <c r="X243" s="781"/>
      <c r="Y243" s="781"/>
      <c r="Z243" s="781"/>
      <c r="AA243" s="781"/>
      <c r="AB243" s="782"/>
      <c r="AC243" s="781"/>
    </row>
    <row r="244" spans="2:29" outlineLevel="1">
      <c r="B244" s="775" t="s">
        <v>1048</v>
      </c>
      <c r="C244" s="1084" t="s">
        <v>1343</v>
      </c>
      <c r="D244" s="1084"/>
      <c r="E244" s="1084"/>
      <c r="F244" s="1084"/>
      <c r="G244" s="1084"/>
      <c r="H244" s="1084"/>
      <c r="I244" s="1084"/>
      <c r="J244" s="1084"/>
      <c r="K244" s="1084"/>
      <c r="L244" s="1084"/>
      <c r="M244" s="1084"/>
      <c r="N244" s="1084"/>
      <c r="O244" s="1084"/>
      <c r="P244" s="1084"/>
      <c r="Q244" s="1084"/>
      <c r="S244" s="119"/>
      <c r="T244" s="781"/>
      <c r="U244" s="781"/>
      <c r="V244" s="781"/>
      <c r="W244" s="781"/>
      <c r="X244" s="781"/>
      <c r="Y244" s="781"/>
      <c r="Z244" s="781"/>
      <c r="AA244" s="781"/>
      <c r="AB244" s="782"/>
      <c r="AC244" s="781"/>
    </row>
    <row r="245" spans="2:29" outlineLevel="1">
      <c r="B245" s="775" t="s">
        <v>1007</v>
      </c>
      <c r="C245" s="1084" t="s">
        <v>1343</v>
      </c>
      <c r="D245" s="1084"/>
      <c r="E245" s="1084"/>
      <c r="F245" s="1084"/>
      <c r="G245" s="1084"/>
      <c r="H245" s="1084"/>
      <c r="I245" s="1084"/>
      <c r="J245" s="1084"/>
      <c r="K245" s="1084"/>
      <c r="L245" s="1084"/>
      <c r="M245" s="1084"/>
      <c r="N245" s="1084"/>
      <c r="O245" s="1084"/>
      <c r="P245" s="1084"/>
      <c r="Q245" s="1084"/>
      <c r="S245" s="119"/>
      <c r="T245" s="781"/>
      <c r="U245" s="781"/>
      <c r="V245" s="781"/>
      <c r="W245" s="781"/>
      <c r="X245" s="781"/>
      <c r="Y245" s="781"/>
      <c r="Z245" s="781"/>
      <c r="AA245" s="781"/>
      <c r="AB245" s="782"/>
      <c r="AC245" s="781"/>
    </row>
    <row r="246" spans="2:29" outlineLevel="1">
      <c r="B246" s="775" t="s">
        <v>1036</v>
      </c>
      <c r="C246" s="1084" t="s">
        <v>1344</v>
      </c>
      <c r="D246" s="1084"/>
      <c r="E246" s="1084"/>
      <c r="F246" s="1084"/>
      <c r="G246" s="1084"/>
      <c r="H246" s="1084"/>
      <c r="I246" s="1084"/>
      <c r="J246" s="1084"/>
      <c r="K246" s="1084"/>
      <c r="L246" s="1084"/>
      <c r="M246" s="1084"/>
      <c r="N246" s="1084"/>
      <c r="O246" s="1084"/>
      <c r="P246" s="1084"/>
      <c r="Q246" s="1084"/>
      <c r="S246" s="119"/>
      <c r="T246" s="781"/>
      <c r="U246" s="781"/>
      <c r="V246" s="781"/>
      <c r="W246" s="781"/>
      <c r="X246" s="781"/>
      <c r="Y246" s="781"/>
      <c r="Z246" s="781"/>
      <c r="AA246" s="781"/>
      <c r="AB246" s="782"/>
      <c r="AC246" s="781"/>
    </row>
    <row r="247" spans="2:29" outlineLevel="1">
      <c r="B247" s="775" t="s">
        <v>1037</v>
      </c>
      <c r="C247" s="1084" t="s">
        <v>1345</v>
      </c>
      <c r="D247" s="1084"/>
      <c r="E247" s="1084"/>
      <c r="F247" s="1084"/>
      <c r="G247" s="1084"/>
      <c r="H247" s="1084"/>
      <c r="I247" s="1084"/>
      <c r="J247" s="1084"/>
      <c r="K247" s="1084"/>
      <c r="L247" s="1084"/>
      <c r="M247" s="1084"/>
      <c r="N247" s="1084"/>
      <c r="O247" s="1084"/>
      <c r="P247" s="1084"/>
      <c r="Q247" s="1084"/>
      <c r="S247" s="119"/>
      <c r="T247" s="781"/>
      <c r="U247" s="781"/>
      <c r="V247" s="781"/>
      <c r="W247" s="781"/>
      <c r="X247" s="781"/>
      <c r="Y247" s="781"/>
      <c r="Z247" s="781"/>
      <c r="AA247" s="781"/>
      <c r="AB247" s="782"/>
      <c r="AC247" s="781"/>
    </row>
    <row r="248" spans="2:29" outlineLevel="1">
      <c r="B248" s="775" t="s">
        <v>1038</v>
      </c>
      <c r="C248" s="1084" t="s">
        <v>1345</v>
      </c>
      <c r="D248" s="1084"/>
      <c r="E248" s="1084"/>
      <c r="F248" s="1084"/>
      <c r="G248" s="1084"/>
      <c r="H248" s="1084"/>
      <c r="I248" s="1084"/>
      <c r="J248" s="1084"/>
      <c r="K248" s="1084"/>
      <c r="L248" s="1084"/>
      <c r="M248" s="1084"/>
      <c r="N248" s="1084"/>
      <c r="O248" s="1084"/>
      <c r="P248" s="1084"/>
      <c r="Q248" s="1084"/>
      <c r="S248" s="119"/>
      <c r="T248" s="781"/>
      <c r="U248" s="781"/>
      <c r="V248" s="781"/>
      <c r="W248" s="781"/>
      <c r="X248" s="781"/>
      <c r="Y248" s="781"/>
      <c r="Z248" s="781"/>
      <c r="AA248" s="781"/>
      <c r="AB248" s="782"/>
      <c r="AC248" s="781"/>
    </row>
    <row r="249" spans="2:29" outlineLevel="1">
      <c r="B249" s="775" t="s">
        <v>1039</v>
      </c>
      <c r="C249" s="1084" t="s">
        <v>1346</v>
      </c>
      <c r="D249" s="1084"/>
      <c r="E249" s="1084"/>
      <c r="F249" s="1084"/>
      <c r="G249" s="1084"/>
      <c r="H249" s="1084"/>
      <c r="I249" s="1084"/>
      <c r="J249" s="1084"/>
      <c r="K249" s="1084"/>
      <c r="L249" s="1084"/>
      <c r="M249" s="1084"/>
      <c r="N249" s="1084"/>
      <c r="O249" s="1084"/>
      <c r="P249" s="1084"/>
      <c r="Q249" s="1084"/>
      <c r="S249" s="119"/>
      <c r="T249" s="781"/>
      <c r="U249" s="781"/>
      <c r="V249" s="781"/>
      <c r="W249" s="781"/>
      <c r="X249" s="781"/>
      <c r="Y249" s="781"/>
      <c r="Z249" s="781"/>
      <c r="AA249" s="781"/>
      <c r="AB249" s="782"/>
      <c r="AC249" s="781"/>
    </row>
    <row r="250" spans="2:29" outlineLevel="1">
      <c r="B250" s="775" t="s">
        <v>1040</v>
      </c>
      <c r="C250" s="1084" t="s">
        <v>1346</v>
      </c>
      <c r="D250" s="1084"/>
      <c r="E250" s="1084"/>
      <c r="F250" s="1084"/>
      <c r="G250" s="1084"/>
      <c r="H250" s="1084"/>
      <c r="I250" s="1084"/>
      <c r="J250" s="1084"/>
      <c r="K250" s="1084"/>
      <c r="L250" s="1084"/>
      <c r="M250" s="1084"/>
      <c r="N250" s="1084"/>
      <c r="O250" s="1084"/>
      <c r="P250" s="1084"/>
      <c r="Q250" s="1084"/>
      <c r="S250" s="119"/>
      <c r="T250" s="781"/>
      <c r="U250" s="781"/>
      <c r="V250" s="781"/>
      <c r="W250" s="781"/>
      <c r="X250" s="781"/>
      <c r="Y250" s="781"/>
      <c r="Z250" s="781"/>
      <c r="AA250" s="781"/>
      <c r="AB250" s="782"/>
      <c r="AC250" s="781"/>
    </row>
    <row r="251" spans="2:29" outlineLevel="1">
      <c r="B251" s="775" t="s">
        <v>1008</v>
      </c>
      <c r="C251" s="1084" t="s">
        <v>1346</v>
      </c>
      <c r="D251" s="1084"/>
      <c r="E251" s="1084"/>
      <c r="F251" s="1084"/>
      <c r="G251" s="1084"/>
      <c r="H251" s="1084"/>
      <c r="I251" s="1084"/>
      <c r="J251" s="1084"/>
      <c r="K251" s="1084"/>
      <c r="L251" s="1084"/>
      <c r="M251" s="1084"/>
      <c r="N251" s="1084"/>
      <c r="O251" s="1084"/>
      <c r="P251" s="1084"/>
      <c r="Q251" s="1084"/>
      <c r="S251" s="119"/>
      <c r="T251" s="781"/>
      <c r="U251" s="781"/>
      <c r="V251" s="781"/>
      <c r="W251" s="781"/>
      <c r="X251" s="781"/>
      <c r="Y251" s="781"/>
      <c r="Z251" s="781"/>
      <c r="AA251" s="781"/>
      <c r="AB251" s="782"/>
      <c r="AC251" s="781"/>
    </row>
    <row r="252" spans="2:29" outlineLevel="1">
      <c r="B252" s="775" t="s">
        <v>1009</v>
      </c>
      <c r="C252" s="1084" t="s">
        <v>1346</v>
      </c>
      <c r="D252" s="1084"/>
      <c r="E252" s="1084"/>
      <c r="F252" s="1084"/>
      <c r="G252" s="1084"/>
      <c r="H252" s="1084"/>
      <c r="I252" s="1084"/>
      <c r="J252" s="1084"/>
      <c r="K252" s="1084"/>
      <c r="L252" s="1084"/>
      <c r="M252" s="1084"/>
      <c r="N252" s="1084"/>
      <c r="O252" s="1084"/>
      <c r="P252" s="1084"/>
      <c r="Q252" s="1084"/>
      <c r="S252" s="119"/>
      <c r="T252" s="781"/>
      <c r="U252" s="781"/>
      <c r="V252" s="781"/>
      <c r="W252" s="781"/>
      <c r="X252" s="781"/>
      <c r="Y252" s="781"/>
      <c r="Z252" s="781"/>
      <c r="AA252" s="781"/>
      <c r="AB252" s="782"/>
      <c r="AC252" s="781"/>
    </row>
    <row r="253" spans="2:29" outlineLevel="1">
      <c r="B253" s="775" t="s">
        <v>1010</v>
      </c>
      <c r="C253" s="1084" t="s">
        <v>1259</v>
      </c>
      <c r="D253" s="1084"/>
      <c r="E253" s="1084"/>
      <c r="F253" s="1084"/>
      <c r="G253" s="1084"/>
      <c r="H253" s="1084"/>
      <c r="I253" s="1084"/>
      <c r="J253" s="1084"/>
      <c r="K253" s="1084"/>
      <c r="L253" s="1084"/>
      <c r="M253" s="1084"/>
      <c r="N253" s="1084"/>
      <c r="O253" s="1084"/>
      <c r="P253" s="1084"/>
      <c r="Q253" s="1084"/>
      <c r="S253" s="119"/>
      <c r="T253" s="781"/>
      <c r="U253" s="781"/>
      <c r="V253" s="781"/>
      <c r="W253" s="781"/>
      <c r="X253" s="781"/>
      <c r="Y253" s="781"/>
      <c r="Z253" s="781"/>
      <c r="AA253" s="781"/>
      <c r="AB253" s="782"/>
      <c r="AC253" s="781"/>
    </row>
    <row r="254" spans="2:29" outlineLevel="1">
      <c r="B254" s="775" t="s">
        <v>1011</v>
      </c>
      <c r="C254" s="1084" t="s">
        <v>1259</v>
      </c>
      <c r="D254" s="1084"/>
      <c r="E254" s="1084"/>
      <c r="F254" s="1084"/>
      <c r="G254" s="1084"/>
      <c r="H254" s="1084"/>
      <c r="I254" s="1084"/>
      <c r="J254" s="1084"/>
      <c r="K254" s="1084"/>
      <c r="L254" s="1084"/>
      <c r="M254" s="1084"/>
      <c r="N254" s="1084"/>
      <c r="O254" s="1084"/>
      <c r="P254" s="1084"/>
      <c r="Q254" s="1084"/>
      <c r="S254" s="119"/>
      <c r="T254" s="781"/>
      <c r="U254" s="781"/>
      <c r="V254" s="781"/>
      <c r="W254" s="781"/>
      <c r="X254" s="781"/>
      <c r="Y254" s="781"/>
      <c r="Z254" s="781"/>
      <c r="AA254" s="781"/>
      <c r="AB254" s="782"/>
      <c r="AC254" s="781"/>
    </row>
    <row r="255" spans="2:29" outlineLevel="1">
      <c r="B255" s="775" t="s">
        <v>1012</v>
      </c>
      <c r="C255" s="1084" t="s">
        <v>1259</v>
      </c>
      <c r="D255" s="1084"/>
      <c r="E255" s="1084"/>
      <c r="F255" s="1084"/>
      <c r="G255" s="1084"/>
      <c r="H255" s="1084"/>
      <c r="I255" s="1084"/>
      <c r="J255" s="1084"/>
      <c r="K255" s="1084"/>
      <c r="L255" s="1084"/>
      <c r="M255" s="1084"/>
      <c r="N255" s="1084"/>
      <c r="O255" s="1084"/>
      <c r="P255" s="1084"/>
      <c r="Q255" s="1084"/>
      <c r="S255" s="119"/>
      <c r="T255" s="781"/>
      <c r="U255" s="781"/>
      <c r="V255" s="781"/>
      <c r="W255" s="781"/>
      <c r="X255" s="781"/>
      <c r="Y255" s="781"/>
      <c r="Z255" s="781"/>
      <c r="AA255" s="781"/>
      <c r="AB255" s="782"/>
      <c r="AC255" s="781"/>
    </row>
    <row r="256" spans="2:29" outlineLevel="1">
      <c r="B256" s="775" t="s">
        <v>1013</v>
      </c>
      <c r="C256" s="1084" t="s">
        <v>1261</v>
      </c>
      <c r="D256" s="1084"/>
      <c r="E256" s="1084"/>
      <c r="F256" s="1084"/>
      <c r="G256" s="1084"/>
      <c r="H256" s="1084"/>
      <c r="I256" s="1084"/>
      <c r="J256" s="1084"/>
      <c r="K256" s="1084"/>
      <c r="L256" s="1084"/>
      <c r="M256" s="1084"/>
      <c r="N256" s="1084"/>
      <c r="O256" s="1084"/>
      <c r="P256" s="1084"/>
      <c r="Q256" s="1084"/>
      <c r="S256" s="119"/>
      <c r="T256" s="781"/>
      <c r="U256" s="781"/>
      <c r="V256" s="781"/>
      <c r="W256" s="781"/>
      <c r="X256" s="781"/>
      <c r="Y256" s="781"/>
      <c r="Z256" s="781"/>
      <c r="AA256" s="781"/>
      <c r="AB256" s="782"/>
      <c r="AC256" s="781"/>
    </row>
    <row r="257" spans="2:29" outlineLevel="1">
      <c r="B257" s="775" t="s">
        <v>1014</v>
      </c>
      <c r="C257" s="1084" t="s">
        <v>1261</v>
      </c>
      <c r="D257" s="1084"/>
      <c r="E257" s="1084"/>
      <c r="F257" s="1084"/>
      <c r="G257" s="1084"/>
      <c r="H257" s="1084"/>
      <c r="I257" s="1084"/>
      <c r="J257" s="1084"/>
      <c r="K257" s="1084"/>
      <c r="L257" s="1084"/>
      <c r="M257" s="1084"/>
      <c r="N257" s="1084"/>
      <c r="O257" s="1084"/>
      <c r="P257" s="1084"/>
      <c r="Q257" s="1084"/>
      <c r="S257" s="119"/>
      <c r="T257" s="781"/>
      <c r="U257" s="781"/>
      <c r="V257" s="781"/>
      <c r="W257" s="781"/>
      <c r="X257" s="781"/>
      <c r="Y257" s="781"/>
      <c r="Z257" s="781"/>
      <c r="AA257" s="781"/>
      <c r="AB257" s="782"/>
      <c r="AC257" s="781"/>
    </row>
    <row r="258" spans="2:29" outlineLevel="1">
      <c r="B258" s="775" t="s">
        <v>1015</v>
      </c>
      <c r="C258" s="1084" t="s">
        <v>1262</v>
      </c>
      <c r="D258" s="1084"/>
      <c r="E258" s="1084"/>
      <c r="F258" s="1084"/>
      <c r="G258" s="1084"/>
      <c r="H258" s="1084"/>
      <c r="I258" s="1084"/>
      <c r="J258" s="1084"/>
      <c r="K258" s="1084"/>
      <c r="L258" s="1084"/>
      <c r="M258" s="1084"/>
      <c r="N258" s="1084"/>
      <c r="O258" s="1084"/>
      <c r="P258" s="1084"/>
      <c r="Q258" s="1084"/>
      <c r="S258" s="119"/>
      <c r="T258" s="781"/>
      <c r="U258" s="781"/>
      <c r="V258" s="781"/>
      <c r="W258" s="781"/>
      <c r="X258" s="781"/>
      <c r="Y258" s="781"/>
      <c r="Z258" s="781"/>
      <c r="AA258" s="781"/>
      <c r="AB258" s="782"/>
      <c r="AC258" s="781"/>
    </row>
    <row r="259" spans="2:29" outlineLevel="1">
      <c r="B259" s="775" t="s">
        <v>1016</v>
      </c>
      <c r="C259" s="1084" t="s">
        <v>1259</v>
      </c>
      <c r="D259" s="1084"/>
      <c r="E259" s="1084"/>
      <c r="F259" s="1084"/>
      <c r="G259" s="1084"/>
      <c r="H259" s="1084"/>
      <c r="I259" s="1084"/>
      <c r="J259" s="1084"/>
      <c r="K259" s="1084"/>
      <c r="L259" s="1084"/>
      <c r="M259" s="1084"/>
      <c r="N259" s="1084"/>
      <c r="O259" s="1084"/>
      <c r="P259" s="1084"/>
      <c r="Q259" s="1084"/>
      <c r="S259" s="119"/>
      <c r="T259" s="781"/>
      <c r="U259" s="781"/>
      <c r="V259" s="781"/>
      <c r="W259" s="781"/>
      <c r="X259" s="781"/>
      <c r="Y259" s="781"/>
      <c r="Z259" s="781"/>
      <c r="AA259" s="781"/>
      <c r="AB259" s="782"/>
      <c r="AC259" s="781"/>
    </row>
    <row r="260" spans="2:29" outlineLevel="1">
      <c r="B260" s="775" t="s">
        <v>1017</v>
      </c>
      <c r="C260" s="1084" t="s">
        <v>1347</v>
      </c>
      <c r="D260" s="1084"/>
      <c r="E260" s="1084"/>
      <c r="F260" s="1084"/>
      <c r="G260" s="1084"/>
      <c r="H260" s="1084"/>
      <c r="I260" s="1084"/>
      <c r="J260" s="1084"/>
      <c r="K260" s="1084"/>
      <c r="L260" s="1084"/>
      <c r="M260" s="1084"/>
      <c r="N260" s="1084"/>
      <c r="O260" s="1084"/>
      <c r="P260" s="1084"/>
      <c r="Q260" s="1084"/>
      <c r="S260" s="119"/>
      <c r="T260" s="781"/>
      <c r="U260" s="781"/>
      <c r="V260" s="781"/>
      <c r="W260" s="781"/>
      <c r="X260" s="781"/>
      <c r="Y260" s="781"/>
      <c r="Z260" s="781"/>
      <c r="AA260" s="781"/>
      <c r="AB260" s="782"/>
      <c r="AC260" s="781"/>
    </row>
    <row r="261" spans="2:29" outlineLevel="1">
      <c r="B261" s="775" t="s">
        <v>1018</v>
      </c>
      <c r="C261" s="1084" t="s">
        <v>1347</v>
      </c>
      <c r="D261" s="1084"/>
      <c r="E261" s="1084"/>
      <c r="F261" s="1084"/>
      <c r="G261" s="1084"/>
      <c r="H261" s="1084"/>
      <c r="I261" s="1084"/>
      <c r="J261" s="1084"/>
      <c r="K261" s="1084"/>
      <c r="L261" s="1084"/>
      <c r="M261" s="1084"/>
      <c r="N261" s="1084"/>
      <c r="O261" s="1084"/>
      <c r="P261" s="1084"/>
      <c r="Q261" s="1084"/>
      <c r="S261" s="119"/>
      <c r="T261" s="781"/>
      <c r="U261" s="781"/>
      <c r="V261" s="781"/>
      <c r="W261" s="781"/>
      <c r="X261" s="781"/>
      <c r="Y261" s="781"/>
      <c r="Z261" s="781"/>
      <c r="AA261" s="781"/>
      <c r="AB261" s="782"/>
      <c r="AC261" s="781"/>
    </row>
    <row r="262" spans="2:29" outlineLevel="1">
      <c r="B262" s="775" t="s">
        <v>1019</v>
      </c>
      <c r="C262" s="1084" t="s">
        <v>1347</v>
      </c>
      <c r="D262" s="1084"/>
      <c r="E262" s="1084"/>
      <c r="F262" s="1084"/>
      <c r="G262" s="1084"/>
      <c r="H262" s="1084"/>
      <c r="I262" s="1084"/>
      <c r="J262" s="1084"/>
      <c r="K262" s="1084"/>
      <c r="L262" s="1084"/>
      <c r="M262" s="1084"/>
      <c r="N262" s="1084"/>
      <c r="O262" s="1084"/>
      <c r="P262" s="1084"/>
      <c r="Q262" s="1084"/>
      <c r="S262" s="119"/>
      <c r="T262" s="781"/>
      <c r="U262" s="781"/>
      <c r="V262" s="781"/>
      <c r="W262" s="781"/>
      <c r="X262" s="781"/>
      <c r="Y262" s="781"/>
      <c r="Z262" s="781"/>
      <c r="AA262" s="781"/>
      <c r="AB262" s="782"/>
      <c r="AC262" s="781"/>
    </row>
    <row r="263" spans="2:29" outlineLevel="1">
      <c r="B263" s="775" t="s">
        <v>1020</v>
      </c>
      <c r="C263" s="1084" t="s">
        <v>1348</v>
      </c>
      <c r="D263" s="1084"/>
      <c r="E263" s="1084"/>
      <c r="F263" s="1084"/>
      <c r="G263" s="1084"/>
      <c r="H263" s="1084"/>
      <c r="I263" s="1084"/>
      <c r="J263" s="1084"/>
      <c r="K263" s="1084"/>
      <c r="L263" s="1084"/>
      <c r="M263" s="1084"/>
      <c r="N263" s="1084"/>
      <c r="O263" s="1084"/>
      <c r="P263" s="1084"/>
      <c r="Q263" s="1084"/>
      <c r="S263" s="119"/>
      <c r="T263" s="781"/>
      <c r="U263" s="781"/>
      <c r="V263" s="781"/>
      <c r="W263" s="781"/>
      <c r="X263" s="781"/>
      <c r="Y263" s="781"/>
      <c r="Z263" s="781"/>
      <c r="AA263" s="781"/>
      <c r="AB263" s="782"/>
      <c r="AC263" s="781"/>
    </row>
    <row r="264" spans="2:29" outlineLevel="1">
      <c r="B264" s="775" t="s">
        <v>1021</v>
      </c>
      <c r="C264" s="1084" t="s">
        <v>1348</v>
      </c>
      <c r="D264" s="1084"/>
      <c r="E264" s="1084"/>
      <c r="F264" s="1084"/>
      <c r="G264" s="1084"/>
      <c r="H264" s="1084"/>
      <c r="I264" s="1084"/>
      <c r="J264" s="1084"/>
      <c r="K264" s="1084"/>
      <c r="L264" s="1084"/>
      <c r="M264" s="1084"/>
      <c r="N264" s="1084"/>
      <c r="O264" s="1084"/>
      <c r="P264" s="1084"/>
      <c r="Q264" s="1084"/>
      <c r="S264" s="119"/>
      <c r="T264" s="781"/>
      <c r="U264" s="781"/>
      <c r="V264" s="781"/>
      <c r="W264" s="781"/>
      <c r="X264" s="781"/>
      <c r="Y264" s="781"/>
      <c r="Z264" s="781"/>
      <c r="AA264" s="781"/>
      <c r="AB264" s="782"/>
      <c r="AC264" s="781"/>
    </row>
    <row r="265" spans="2:29" outlineLevel="1">
      <c r="B265" s="775" t="s">
        <v>1025</v>
      </c>
      <c r="C265" s="1084" t="s">
        <v>1349</v>
      </c>
      <c r="D265" s="1084"/>
      <c r="E265" s="1084"/>
      <c r="F265" s="1084"/>
      <c r="G265" s="1084"/>
      <c r="H265" s="1084"/>
      <c r="I265" s="1084"/>
      <c r="J265" s="1084"/>
      <c r="K265" s="1084"/>
      <c r="L265" s="1084"/>
      <c r="M265" s="1084"/>
      <c r="N265" s="1084"/>
      <c r="O265" s="1084"/>
      <c r="P265" s="1084"/>
      <c r="Q265" s="1084"/>
      <c r="S265" s="119"/>
      <c r="T265" s="781"/>
      <c r="U265" s="781"/>
      <c r="V265" s="781"/>
      <c r="W265" s="781"/>
      <c r="X265" s="781"/>
      <c r="Y265" s="781"/>
      <c r="Z265" s="781"/>
      <c r="AA265" s="781"/>
      <c r="AB265" s="782"/>
      <c r="AC265" s="781"/>
    </row>
    <row r="266" spans="2:29" outlineLevel="1">
      <c r="B266" s="775" t="s">
        <v>1026</v>
      </c>
      <c r="C266" s="1084" t="s">
        <v>1349</v>
      </c>
      <c r="D266" s="1084"/>
      <c r="E266" s="1084"/>
      <c r="F266" s="1084"/>
      <c r="G266" s="1084"/>
      <c r="H266" s="1084"/>
      <c r="I266" s="1084"/>
      <c r="J266" s="1084"/>
      <c r="K266" s="1084"/>
      <c r="L266" s="1084"/>
      <c r="M266" s="1084"/>
      <c r="N266" s="1084"/>
      <c r="O266" s="1084"/>
      <c r="P266" s="1084"/>
      <c r="Q266" s="1084"/>
      <c r="S266" s="119"/>
      <c r="T266" s="781"/>
      <c r="U266" s="781"/>
      <c r="V266" s="781"/>
      <c r="W266" s="781"/>
      <c r="X266" s="781"/>
      <c r="Y266" s="781"/>
      <c r="Z266" s="781"/>
      <c r="AA266" s="781"/>
      <c r="AB266" s="782"/>
      <c r="AC266" s="781"/>
    </row>
    <row r="267" spans="2:29" outlineLevel="1">
      <c r="B267" s="775" t="s">
        <v>1027</v>
      </c>
      <c r="C267" s="1084" t="s">
        <v>1350</v>
      </c>
      <c r="D267" s="1084"/>
      <c r="E267" s="1084"/>
      <c r="F267" s="1084"/>
      <c r="G267" s="1084"/>
      <c r="H267" s="1084"/>
      <c r="I267" s="1084"/>
      <c r="J267" s="1084"/>
      <c r="K267" s="1084"/>
      <c r="L267" s="1084"/>
      <c r="M267" s="1084"/>
      <c r="N267" s="1084"/>
      <c r="O267" s="1084"/>
      <c r="P267" s="1084"/>
      <c r="Q267" s="1084"/>
      <c r="S267" s="119"/>
      <c r="T267" s="781"/>
      <c r="U267" s="781"/>
      <c r="V267" s="781"/>
      <c r="W267" s="781"/>
      <c r="X267" s="781"/>
      <c r="Y267" s="781"/>
      <c r="Z267" s="781"/>
      <c r="AA267" s="781"/>
      <c r="AB267" s="782"/>
      <c r="AC267" s="781"/>
    </row>
    <row r="268" spans="2:29" outlineLevel="1">
      <c r="B268" s="729" t="s">
        <v>706</v>
      </c>
      <c r="C268" s="1084" t="s">
        <v>479</v>
      </c>
      <c r="D268" s="1084"/>
      <c r="E268" s="1084"/>
      <c r="F268" s="1084"/>
      <c r="G268" s="1084"/>
      <c r="H268" s="1084"/>
      <c r="I268" s="1084"/>
      <c r="J268" s="1084"/>
      <c r="K268" s="1084"/>
      <c r="L268" s="1084"/>
      <c r="M268" s="1084"/>
      <c r="N268" s="1084"/>
      <c r="O268" s="1084"/>
      <c r="P268" s="1084"/>
      <c r="Q268" s="1084"/>
      <c r="S268" s="119"/>
      <c r="T268" s="781"/>
      <c r="U268" s="781"/>
      <c r="V268" s="781"/>
      <c r="W268" s="781"/>
      <c r="X268" s="781"/>
      <c r="Y268" s="781"/>
      <c r="Z268" s="781"/>
      <c r="AA268" s="781"/>
      <c r="AB268" s="782"/>
      <c r="AC268" s="781"/>
    </row>
    <row r="269" spans="2:29">
      <c r="F269" s="117"/>
      <c r="G269" s="117"/>
      <c r="H269" s="117"/>
      <c r="I269" s="117"/>
      <c r="T269" s="781"/>
      <c r="U269" s="781"/>
      <c r="V269" s="781"/>
      <c r="W269" s="781"/>
      <c r="X269" s="781"/>
      <c r="Y269" s="781"/>
      <c r="Z269" s="781"/>
      <c r="AA269" s="781"/>
      <c r="AB269" s="782"/>
      <c r="AC269" s="781"/>
    </row>
    <row r="270" spans="2:29">
      <c r="B270" s="201" t="s">
        <v>498</v>
      </c>
      <c r="C270" s="201"/>
      <c r="D270" s="118" t="s">
        <v>619</v>
      </c>
      <c r="E270" s="98"/>
      <c r="T270" s="781"/>
      <c r="U270" s="781"/>
      <c r="V270" s="781"/>
      <c r="W270" s="781"/>
      <c r="X270" s="781"/>
      <c r="Y270" s="781"/>
      <c r="Z270" s="781"/>
      <c r="AA270" s="781"/>
      <c r="AB270" s="782"/>
      <c r="AC270" s="781"/>
    </row>
    <row r="271" spans="2:29" outlineLevel="1">
      <c r="D271" s="98"/>
      <c r="E271" s="98"/>
      <c r="T271" s="781"/>
      <c r="U271" s="781"/>
      <c r="V271" s="781"/>
      <c r="W271" s="781"/>
      <c r="X271" s="781"/>
      <c r="Y271" s="781"/>
      <c r="Z271" s="781"/>
      <c r="AA271" s="781"/>
      <c r="AB271" s="782"/>
      <c r="AC271" s="781"/>
    </row>
    <row r="272" spans="2:29" ht="32.25" customHeight="1" outlineLevel="1">
      <c r="B272" s="761"/>
      <c r="C272" s="723" t="s">
        <v>678</v>
      </c>
      <c r="D272" s="536" t="s">
        <v>469</v>
      </c>
      <c r="E272" s="536" t="s">
        <v>470</v>
      </c>
      <c r="F272" s="1086" t="s">
        <v>471</v>
      </c>
      <c r="G272" s="536" t="s">
        <v>483</v>
      </c>
      <c r="H272" s="536" t="s">
        <v>484</v>
      </c>
      <c r="I272" s="536" t="s">
        <v>485</v>
      </c>
      <c r="J272" s="723" t="s">
        <v>486</v>
      </c>
      <c r="K272" s="536" t="s">
        <v>483</v>
      </c>
      <c r="L272" s="536" t="s">
        <v>483</v>
      </c>
      <c r="M272" s="536" t="s">
        <v>483</v>
      </c>
      <c r="N272" s="536" t="s">
        <v>700</v>
      </c>
      <c r="O272" s="536" t="s">
        <v>700</v>
      </c>
      <c r="P272" s="536" t="s">
        <v>700</v>
      </c>
      <c r="Q272" s="536" t="s">
        <v>694</v>
      </c>
      <c r="T272" s="781"/>
      <c r="U272" s="781"/>
      <c r="V272" s="781"/>
      <c r="W272" s="781"/>
      <c r="X272" s="781"/>
      <c r="Y272" s="781"/>
      <c r="Z272" s="781"/>
      <c r="AA272" s="781"/>
      <c r="AB272" s="782"/>
      <c r="AC272" s="781"/>
    </row>
    <row r="273" spans="2:29" s="256" customFormat="1" ht="52.5" customHeight="1" outlineLevel="1">
      <c r="B273" s="762" t="s">
        <v>397</v>
      </c>
      <c r="C273" s="728"/>
      <c r="D273" s="728" t="s">
        <v>472</v>
      </c>
      <c r="E273" s="728" t="s">
        <v>472</v>
      </c>
      <c r="F273" s="1086"/>
      <c r="G273" s="763" t="s">
        <v>136</v>
      </c>
      <c r="H273" s="763" t="s">
        <v>136</v>
      </c>
      <c r="I273" s="738" t="s">
        <v>398</v>
      </c>
      <c r="J273" s="763" t="s">
        <v>487</v>
      </c>
      <c r="K273" s="763" t="s">
        <v>701</v>
      </c>
      <c r="L273" s="764" t="s">
        <v>702</v>
      </c>
      <c r="M273" s="764" t="s">
        <v>703</v>
      </c>
      <c r="N273" s="763" t="s">
        <v>701</v>
      </c>
      <c r="O273" s="764" t="s">
        <v>704</v>
      </c>
      <c r="P273" s="764" t="s">
        <v>703</v>
      </c>
      <c r="Q273" s="728" t="s">
        <v>152</v>
      </c>
      <c r="T273" s="794" t="s">
        <v>398</v>
      </c>
      <c r="U273" s="794" t="s">
        <v>398</v>
      </c>
      <c r="V273" s="794" t="s">
        <v>398</v>
      </c>
      <c r="W273" s="794" t="s">
        <v>398</v>
      </c>
      <c r="X273" s="794" t="s">
        <v>398</v>
      </c>
      <c r="Y273" s="794" t="s">
        <v>398</v>
      </c>
      <c r="Z273" s="794" t="s">
        <v>398</v>
      </c>
      <c r="AA273" s="794" t="s">
        <v>398</v>
      </c>
      <c r="AB273" s="794" t="s">
        <v>398</v>
      </c>
      <c r="AC273" s="794" t="s">
        <v>398</v>
      </c>
    </row>
    <row r="274" spans="2:29" outlineLevel="1">
      <c r="B274" s="729" t="s">
        <v>500</v>
      </c>
      <c r="C274" s="739" t="s">
        <v>1351</v>
      </c>
      <c r="D274" s="739">
        <v>40777</v>
      </c>
      <c r="E274" s="739">
        <v>54280</v>
      </c>
      <c r="F274" s="740" t="s">
        <v>1352</v>
      </c>
      <c r="G274" s="755" t="s">
        <v>137</v>
      </c>
      <c r="H274" s="755" t="s">
        <v>137</v>
      </c>
      <c r="I274" s="765">
        <v>-100</v>
      </c>
      <c r="J274" s="756" t="s">
        <v>1273</v>
      </c>
      <c r="K274" s="776" t="s">
        <v>126</v>
      </c>
      <c r="L274" s="746">
        <v>0</v>
      </c>
      <c r="M274" s="746" t="s">
        <v>134</v>
      </c>
      <c r="N274" s="745" t="s">
        <v>126</v>
      </c>
      <c r="O274" s="748">
        <v>0</v>
      </c>
      <c r="P274" s="777" t="s">
        <v>134</v>
      </c>
      <c r="Q274" s="814" t="s">
        <v>1074</v>
      </c>
      <c r="T274" s="779">
        <v>0</v>
      </c>
      <c r="U274" s="779">
        <v>0</v>
      </c>
      <c r="V274" s="779">
        <v>0</v>
      </c>
      <c r="W274" s="779">
        <v>0</v>
      </c>
      <c r="X274" s="779">
        <v>0</v>
      </c>
      <c r="Y274" s="779">
        <v>0</v>
      </c>
      <c r="Z274" s="779">
        <v>0</v>
      </c>
      <c r="AA274" s="779">
        <v>0</v>
      </c>
      <c r="AB274" s="779">
        <v>0</v>
      </c>
      <c r="AC274" s="779">
        <v>0</v>
      </c>
    </row>
    <row r="275" spans="2:29" outlineLevel="1">
      <c r="B275" s="729" t="s">
        <v>501</v>
      </c>
      <c r="C275" s="739" t="s">
        <v>1353</v>
      </c>
      <c r="D275" s="739">
        <v>40777</v>
      </c>
      <c r="E275" s="739">
        <v>54284</v>
      </c>
      <c r="F275" s="740" t="s">
        <v>1354</v>
      </c>
      <c r="G275" s="755" t="s">
        <v>137</v>
      </c>
      <c r="H275" s="755" t="s">
        <v>137</v>
      </c>
      <c r="I275" s="765">
        <v>-100</v>
      </c>
      <c r="J275" s="756" t="s">
        <v>1273</v>
      </c>
      <c r="K275" s="776" t="s">
        <v>126</v>
      </c>
      <c r="L275" s="746">
        <v>0</v>
      </c>
      <c r="M275" s="746" t="s">
        <v>134</v>
      </c>
      <c r="N275" s="745" t="s">
        <v>126</v>
      </c>
      <c r="O275" s="748">
        <v>0</v>
      </c>
      <c r="P275" s="777" t="s">
        <v>134</v>
      </c>
      <c r="Q275" s="814" t="s">
        <v>1074</v>
      </c>
      <c r="T275" s="779">
        <v>0</v>
      </c>
      <c r="U275" s="779">
        <v>0</v>
      </c>
      <c r="V275" s="779">
        <v>0</v>
      </c>
      <c r="W275" s="779">
        <v>0</v>
      </c>
      <c r="X275" s="779">
        <v>0</v>
      </c>
      <c r="Y275" s="779">
        <v>0</v>
      </c>
      <c r="Z275" s="779">
        <v>0</v>
      </c>
      <c r="AA275" s="779">
        <v>0</v>
      </c>
      <c r="AB275" s="779">
        <v>0</v>
      </c>
      <c r="AC275" s="779">
        <v>0</v>
      </c>
    </row>
    <row r="276" spans="2:29" outlineLevel="1">
      <c r="B276" s="729" t="s">
        <v>502</v>
      </c>
      <c r="C276" s="739"/>
      <c r="D276" s="739"/>
      <c r="E276" s="739"/>
      <c r="F276" s="740"/>
      <c r="G276" s="755"/>
      <c r="H276" s="755"/>
      <c r="I276" s="765"/>
      <c r="J276" s="756"/>
      <c r="K276" s="766"/>
      <c r="L276" s="746"/>
      <c r="M276" s="746"/>
      <c r="N276" s="745"/>
      <c r="O276" s="767"/>
      <c r="P276" s="748"/>
      <c r="Q276" s="756"/>
      <c r="T276" s="779">
        <v>0</v>
      </c>
      <c r="U276" s="779">
        <v>0</v>
      </c>
      <c r="V276" s="779">
        <v>0</v>
      </c>
      <c r="W276" s="779">
        <v>0</v>
      </c>
      <c r="X276" s="779">
        <v>0</v>
      </c>
      <c r="Y276" s="779">
        <v>0</v>
      </c>
      <c r="Z276" s="779">
        <v>0</v>
      </c>
      <c r="AA276" s="779">
        <v>0</v>
      </c>
      <c r="AB276" s="779">
        <v>0</v>
      </c>
      <c r="AC276" s="779">
        <v>0</v>
      </c>
    </row>
    <row r="277" spans="2:29" outlineLevel="1">
      <c r="B277" s="729" t="s">
        <v>503</v>
      </c>
      <c r="C277" s="1085" t="s">
        <v>479</v>
      </c>
      <c r="D277" s="1085"/>
      <c r="E277" s="1085"/>
      <c r="F277" s="1085"/>
      <c r="G277" s="1085"/>
      <c r="H277" s="1085"/>
      <c r="I277" s="1085"/>
      <c r="J277" s="1085"/>
      <c r="K277" s="1085"/>
      <c r="L277" s="1085"/>
      <c r="M277" s="1085"/>
      <c r="N277" s="1085"/>
      <c r="O277" s="1085"/>
      <c r="P277" s="1085"/>
      <c r="Q277" s="1085"/>
      <c r="T277" s="779">
        <v>0</v>
      </c>
      <c r="U277" s="779">
        <v>0</v>
      </c>
      <c r="V277" s="779">
        <v>0</v>
      </c>
      <c r="W277" s="779">
        <v>0</v>
      </c>
      <c r="X277" s="779">
        <v>0</v>
      </c>
      <c r="Y277" s="779">
        <v>0</v>
      </c>
      <c r="Z277" s="779">
        <v>0</v>
      </c>
      <c r="AA277" s="779">
        <v>0</v>
      </c>
      <c r="AB277" s="779">
        <v>0</v>
      </c>
      <c r="AC277" s="779">
        <v>0</v>
      </c>
    </row>
    <row r="278" spans="2:29">
      <c r="F278" s="117"/>
      <c r="G278" s="117"/>
      <c r="H278" s="117"/>
      <c r="I278" s="117"/>
      <c r="S278" s="537" t="s">
        <v>504</v>
      </c>
      <c r="T278" s="780">
        <f t="shared" ref="T278:AC278" si="9">SUM(T274:T277)</f>
        <v>0</v>
      </c>
      <c r="U278" s="780">
        <f t="shared" si="9"/>
        <v>0</v>
      </c>
      <c r="V278" s="780">
        <f t="shared" si="9"/>
        <v>0</v>
      </c>
      <c r="W278" s="780">
        <f t="shared" si="9"/>
        <v>0</v>
      </c>
      <c r="X278" s="780">
        <f t="shared" si="9"/>
        <v>0</v>
      </c>
      <c r="Y278" s="780">
        <f t="shared" si="9"/>
        <v>0</v>
      </c>
      <c r="Z278" s="780">
        <f t="shared" si="9"/>
        <v>0</v>
      </c>
      <c r="AA278" s="780">
        <f t="shared" si="9"/>
        <v>0</v>
      </c>
      <c r="AB278" s="780">
        <f t="shared" si="9"/>
        <v>0</v>
      </c>
      <c r="AC278" s="780">
        <f t="shared" si="9"/>
        <v>0</v>
      </c>
    </row>
    <row r="279" spans="2:29" outlineLevel="1">
      <c r="B279" s="731" t="s">
        <v>397</v>
      </c>
      <c r="C279" s="1088" t="s">
        <v>705</v>
      </c>
      <c r="D279" s="1088"/>
      <c r="E279" s="1088"/>
      <c r="F279" s="1088"/>
      <c r="G279" s="1088"/>
      <c r="H279" s="1088"/>
      <c r="I279" s="1088"/>
      <c r="J279" s="1088"/>
      <c r="K279" s="1088"/>
      <c r="L279" s="1088"/>
      <c r="M279" s="1088"/>
      <c r="N279" s="1088"/>
      <c r="O279" s="1088"/>
      <c r="P279" s="1088"/>
      <c r="Q279" s="1088"/>
      <c r="S279" s="101"/>
      <c r="T279" s="781"/>
      <c r="U279" s="781"/>
      <c r="V279" s="781"/>
      <c r="W279" s="781"/>
      <c r="X279" s="781"/>
      <c r="Y279" s="781"/>
      <c r="Z279" s="781"/>
      <c r="AA279" s="781"/>
      <c r="AB279" s="782"/>
      <c r="AC279" s="781"/>
    </row>
    <row r="280" spans="2:29" outlineLevel="1">
      <c r="B280" s="729" t="s">
        <v>500</v>
      </c>
      <c r="C280" s="1084" t="s">
        <v>1355</v>
      </c>
      <c r="D280" s="1084"/>
      <c r="E280" s="1084"/>
      <c r="F280" s="1084"/>
      <c r="G280" s="1084"/>
      <c r="H280" s="1084"/>
      <c r="I280" s="1084"/>
      <c r="J280" s="1084"/>
      <c r="K280" s="1084"/>
      <c r="L280" s="1084"/>
      <c r="M280" s="1084"/>
      <c r="N280" s="1084"/>
      <c r="O280" s="1084"/>
      <c r="P280" s="1084"/>
      <c r="Q280" s="1084"/>
      <c r="S280" s="119"/>
      <c r="T280" s="781"/>
      <c r="U280" s="781"/>
      <c r="V280" s="781"/>
      <c r="W280" s="781"/>
      <c r="X280" s="781"/>
      <c r="Y280" s="781"/>
      <c r="Z280" s="781"/>
      <c r="AA280" s="781"/>
      <c r="AB280" s="782"/>
      <c r="AC280" s="781"/>
    </row>
    <row r="281" spans="2:29" outlineLevel="1">
      <c r="B281" s="729" t="s">
        <v>501</v>
      </c>
      <c r="C281" s="1084" t="s">
        <v>1356</v>
      </c>
      <c r="D281" s="1084"/>
      <c r="E281" s="1084"/>
      <c r="F281" s="1084"/>
      <c r="G281" s="1084"/>
      <c r="H281" s="1084"/>
      <c r="I281" s="1084"/>
      <c r="J281" s="1084"/>
      <c r="K281" s="1084"/>
      <c r="L281" s="1084"/>
      <c r="M281" s="1084"/>
      <c r="N281" s="1084"/>
      <c r="O281" s="1084"/>
      <c r="P281" s="1084"/>
      <c r="Q281" s="1084"/>
      <c r="S281" s="119"/>
      <c r="T281" s="781"/>
      <c r="U281" s="781"/>
      <c r="V281" s="781"/>
      <c r="W281" s="781"/>
      <c r="X281" s="781"/>
      <c r="Y281" s="781"/>
      <c r="Z281" s="781"/>
      <c r="AA281" s="781"/>
      <c r="AB281" s="782"/>
      <c r="AC281" s="781"/>
    </row>
    <row r="282" spans="2:29" outlineLevel="1">
      <c r="B282" s="729"/>
      <c r="C282" s="1084"/>
      <c r="D282" s="1084"/>
      <c r="E282" s="1084"/>
      <c r="F282" s="1084"/>
      <c r="G282" s="1084"/>
      <c r="H282" s="1084"/>
      <c r="I282" s="1084"/>
      <c r="J282" s="1084"/>
      <c r="K282" s="1084"/>
      <c r="L282" s="1084"/>
      <c r="M282" s="1084"/>
      <c r="N282" s="1084"/>
      <c r="O282" s="1084"/>
      <c r="P282" s="1084"/>
      <c r="Q282" s="1084"/>
      <c r="S282" s="119"/>
      <c r="T282" s="781"/>
      <c r="U282" s="781"/>
      <c r="V282" s="781"/>
      <c r="W282" s="781"/>
      <c r="X282" s="781"/>
      <c r="Y282" s="781"/>
      <c r="Z282" s="781"/>
      <c r="AA282" s="781"/>
      <c r="AB282" s="782"/>
      <c r="AC282" s="781"/>
    </row>
    <row r="283" spans="2:29" outlineLevel="1">
      <c r="B283" s="729" t="s">
        <v>503</v>
      </c>
      <c r="C283" s="1085" t="s">
        <v>479</v>
      </c>
      <c r="D283" s="1085"/>
      <c r="E283" s="1085"/>
      <c r="F283" s="1085"/>
      <c r="G283" s="1085"/>
      <c r="H283" s="1085"/>
      <c r="I283" s="1085"/>
      <c r="J283" s="1085"/>
      <c r="K283" s="1085"/>
      <c r="L283" s="1085"/>
      <c r="M283" s="1085"/>
      <c r="N283" s="1085"/>
      <c r="O283" s="1085"/>
      <c r="P283" s="1085"/>
      <c r="Q283" s="1085"/>
      <c r="S283" s="119"/>
      <c r="T283" s="781"/>
      <c r="U283" s="781"/>
      <c r="V283" s="781"/>
      <c r="W283" s="781"/>
      <c r="X283" s="781"/>
      <c r="Y283" s="781"/>
      <c r="Z283" s="781"/>
      <c r="AA283" s="781"/>
      <c r="AB283" s="782"/>
      <c r="AC283" s="781"/>
    </row>
    <row r="284" spans="2:29">
      <c r="T284" s="781"/>
      <c r="U284" s="781"/>
      <c r="V284" s="781"/>
      <c r="W284" s="781"/>
      <c r="X284" s="781"/>
      <c r="Y284" s="781"/>
      <c r="Z284" s="781"/>
      <c r="AA284" s="781"/>
      <c r="AB284" s="782"/>
      <c r="AC284" s="781"/>
    </row>
    <row r="285" spans="2:29">
      <c r="F285" s="117"/>
      <c r="G285" s="117"/>
      <c r="H285" s="117"/>
      <c r="I285" s="117"/>
      <c r="T285" s="781"/>
      <c r="U285" s="781"/>
      <c r="V285" s="781"/>
      <c r="W285" s="781"/>
      <c r="X285" s="781"/>
      <c r="Y285" s="781"/>
      <c r="Z285" s="781"/>
      <c r="AA285" s="781"/>
      <c r="AB285" s="782"/>
      <c r="AC285" s="781"/>
    </row>
    <row r="286" spans="2:29">
      <c r="B286" s="201" t="s">
        <v>505</v>
      </c>
      <c r="C286" s="201"/>
      <c r="D286" s="118" t="s">
        <v>620</v>
      </c>
      <c r="E286" s="98"/>
      <c r="T286" s="781"/>
      <c r="U286" s="781"/>
      <c r="V286" s="781"/>
      <c r="W286" s="781"/>
      <c r="X286" s="781"/>
      <c r="Y286" s="781"/>
      <c r="Z286" s="781"/>
      <c r="AA286" s="781"/>
      <c r="AB286" s="782"/>
      <c r="AC286" s="781"/>
    </row>
    <row r="287" spans="2:29" outlineLevel="1">
      <c r="T287" s="781"/>
      <c r="U287" s="781"/>
      <c r="V287" s="781"/>
      <c r="W287" s="781"/>
      <c r="X287" s="781"/>
      <c r="Y287" s="781"/>
      <c r="Z287" s="781"/>
      <c r="AA287" s="781"/>
      <c r="AB287" s="782"/>
      <c r="AC287" s="781"/>
    </row>
    <row r="288" spans="2:29" ht="25.5" customHeight="1" outlineLevel="1">
      <c r="B288" s="731"/>
      <c r="C288" s="723" t="s">
        <v>678</v>
      </c>
      <c r="D288" s="536" t="s">
        <v>469</v>
      </c>
      <c r="E288" s="536" t="s">
        <v>470</v>
      </c>
      <c r="F288" s="1089" t="s">
        <v>471</v>
      </c>
      <c r="G288" s="1089"/>
      <c r="H288" s="1089"/>
      <c r="I288" s="1089"/>
      <c r="J288" s="1089"/>
      <c r="K288" s="1089"/>
      <c r="L288" s="1089"/>
      <c r="M288" s="1089"/>
      <c r="N288" s="1089"/>
      <c r="O288" s="723" t="s">
        <v>485</v>
      </c>
      <c r="P288" s="536" t="s">
        <v>707</v>
      </c>
      <c r="Q288" s="536" t="s">
        <v>694</v>
      </c>
      <c r="T288" s="781"/>
      <c r="U288" s="781"/>
      <c r="V288" s="781"/>
      <c r="W288" s="781"/>
      <c r="X288" s="781"/>
      <c r="Y288" s="781"/>
      <c r="Z288" s="781"/>
      <c r="AA288" s="781"/>
      <c r="AB288" s="782"/>
      <c r="AC288" s="781"/>
    </row>
    <row r="289" spans="2:29" ht="25.5" customHeight="1" outlineLevel="1">
      <c r="B289" s="729" t="s">
        <v>397</v>
      </c>
      <c r="C289" s="729"/>
      <c r="D289" s="536" t="s">
        <v>472</v>
      </c>
      <c r="E289" s="536" t="s">
        <v>472</v>
      </c>
      <c r="F289" s="1089"/>
      <c r="G289" s="1089"/>
      <c r="H289" s="1089"/>
      <c r="I289" s="1089"/>
      <c r="J289" s="1089"/>
      <c r="K289" s="1089"/>
      <c r="L289" s="1089"/>
      <c r="M289" s="1089"/>
      <c r="N289" s="1089"/>
      <c r="O289" s="723" t="s">
        <v>398</v>
      </c>
      <c r="P289" s="759" t="s">
        <v>194</v>
      </c>
      <c r="Q289" s="728" t="s">
        <v>152</v>
      </c>
      <c r="T289" s="785" t="s">
        <v>398</v>
      </c>
      <c r="U289" s="785" t="s">
        <v>398</v>
      </c>
      <c r="V289" s="785" t="s">
        <v>398</v>
      </c>
      <c r="W289" s="785" t="s">
        <v>398</v>
      </c>
      <c r="X289" s="785" t="s">
        <v>398</v>
      </c>
      <c r="Y289" s="785" t="s">
        <v>398</v>
      </c>
      <c r="Z289" s="785" t="s">
        <v>398</v>
      </c>
      <c r="AA289" s="785" t="s">
        <v>398</v>
      </c>
      <c r="AB289" s="785" t="s">
        <v>398</v>
      </c>
      <c r="AC289" s="785" t="s">
        <v>398</v>
      </c>
    </row>
    <row r="290" spans="2:29" outlineLevel="1">
      <c r="B290" s="729" t="s">
        <v>507</v>
      </c>
      <c r="C290" s="739"/>
      <c r="D290" s="739"/>
      <c r="E290" s="739"/>
      <c r="F290" s="1087"/>
      <c r="G290" s="1087"/>
      <c r="H290" s="1087"/>
      <c r="I290" s="1087"/>
      <c r="J290" s="1087"/>
      <c r="K290" s="1087"/>
      <c r="L290" s="1087"/>
      <c r="M290" s="1087"/>
      <c r="N290" s="1087"/>
      <c r="O290" s="760"/>
      <c r="P290" s="745"/>
      <c r="Q290" s="756"/>
      <c r="T290" s="779">
        <v>0</v>
      </c>
      <c r="U290" s="779">
        <v>0</v>
      </c>
      <c r="V290" s="779">
        <v>0</v>
      </c>
      <c r="W290" s="779">
        <v>0</v>
      </c>
      <c r="X290" s="779">
        <v>0</v>
      </c>
      <c r="Y290" s="779">
        <v>0</v>
      </c>
      <c r="Z290" s="779">
        <v>0</v>
      </c>
      <c r="AA290" s="779">
        <v>0</v>
      </c>
      <c r="AB290" s="779">
        <v>0</v>
      </c>
      <c r="AC290" s="779">
        <v>0</v>
      </c>
    </row>
    <row r="291" spans="2:29" outlineLevel="1">
      <c r="B291" s="729" t="s">
        <v>508</v>
      </c>
      <c r="C291" s="739"/>
      <c r="D291" s="739"/>
      <c r="E291" s="739"/>
      <c r="F291" s="1087"/>
      <c r="G291" s="1087"/>
      <c r="H291" s="1087"/>
      <c r="I291" s="1087"/>
      <c r="J291" s="1087"/>
      <c r="K291" s="1087"/>
      <c r="L291" s="1087"/>
      <c r="M291" s="1087"/>
      <c r="N291" s="1087"/>
      <c r="O291" s="760"/>
      <c r="P291" s="748"/>
      <c r="Q291" s="756"/>
      <c r="T291" s="779">
        <v>0</v>
      </c>
      <c r="U291" s="779">
        <v>0</v>
      </c>
      <c r="V291" s="779">
        <v>0</v>
      </c>
      <c r="W291" s="779">
        <v>0</v>
      </c>
      <c r="X291" s="779">
        <v>0</v>
      </c>
      <c r="Y291" s="779">
        <v>0</v>
      </c>
      <c r="Z291" s="779">
        <v>0</v>
      </c>
      <c r="AA291" s="779">
        <v>0</v>
      </c>
      <c r="AB291" s="779">
        <v>0</v>
      </c>
      <c r="AC291" s="779">
        <v>0</v>
      </c>
    </row>
    <row r="292" spans="2:29" outlineLevel="1">
      <c r="B292" s="729" t="s">
        <v>509</v>
      </c>
      <c r="C292" s="739"/>
      <c r="D292" s="739"/>
      <c r="E292" s="739"/>
      <c r="F292" s="1087"/>
      <c r="G292" s="1087"/>
      <c r="H292" s="1087"/>
      <c r="I292" s="1087"/>
      <c r="J292" s="1087"/>
      <c r="K292" s="1087"/>
      <c r="L292" s="1087"/>
      <c r="M292" s="1087"/>
      <c r="N292" s="1087"/>
      <c r="O292" s="760"/>
      <c r="P292" s="748"/>
      <c r="Q292" s="756"/>
      <c r="T292" s="779">
        <v>0</v>
      </c>
      <c r="U292" s="779">
        <v>0</v>
      </c>
      <c r="V292" s="779">
        <v>0</v>
      </c>
      <c r="W292" s="779">
        <v>0</v>
      </c>
      <c r="X292" s="779">
        <v>0</v>
      </c>
      <c r="Y292" s="779">
        <v>0</v>
      </c>
      <c r="Z292" s="779">
        <v>0</v>
      </c>
      <c r="AA292" s="779">
        <v>0</v>
      </c>
      <c r="AB292" s="779">
        <v>0</v>
      </c>
      <c r="AC292" s="779">
        <v>0</v>
      </c>
    </row>
    <row r="293" spans="2:29" outlineLevel="1">
      <c r="B293" s="729" t="s">
        <v>510</v>
      </c>
      <c r="C293" s="739"/>
      <c r="D293" s="739"/>
      <c r="E293" s="739"/>
      <c r="F293" s="1087"/>
      <c r="G293" s="1087"/>
      <c r="H293" s="1087"/>
      <c r="I293" s="1087"/>
      <c r="J293" s="1087"/>
      <c r="K293" s="1087"/>
      <c r="L293" s="1087"/>
      <c r="M293" s="1087"/>
      <c r="N293" s="1087"/>
      <c r="O293" s="760"/>
      <c r="P293" s="748"/>
      <c r="Q293" s="756"/>
      <c r="T293" s="779">
        <v>0</v>
      </c>
      <c r="U293" s="779">
        <v>0</v>
      </c>
      <c r="V293" s="779">
        <v>0</v>
      </c>
      <c r="W293" s="779">
        <v>0</v>
      </c>
      <c r="X293" s="779">
        <v>0</v>
      </c>
      <c r="Y293" s="779">
        <v>0</v>
      </c>
      <c r="Z293" s="779">
        <v>0</v>
      </c>
      <c r="AA293" s="779">
        <v>0</v>
      </c>
      <c r="AB293" s="779">
        <v>0</v>
      </c>
      <c r="AC293" s="779">
        <v>0</v>
      </c>
    </row>
    <row r="294" spans="2:29" outlineLevel="1">
      <c r="B294" s="729" t="s">
        <v>511</v>
      </c>
      <c r="C294" s="1085" t="s">
        <v>479</v>
      </c>
      <c r="D294" s="1085"/>
      <c r="E294" s="1085"/>
      <c r="F294" s="1085"/>
      <c r="G294" s="1085"/>
      <c r="H294" s="1085"/>
      <c r="I294" s="1085"/>
      <c r="J294" s="1085"/>
      <c r="K294" s="1085"/>
      <c r="L294" s="1085"/>
      <c r="M294" s="1085"/>
      <c r="N294" s="1085"/>
      <c r="O294" s="1085"/>
      <c r="P294" s="1085"/>
      <c r="Q294" s="1085"/>
      <c r="T294" s="779">
        <v>0</v>
      </c>
      <c r="U294" s="779">
        <v>0</v>
      </c>
      <c r="V294" s="779">
        <v>0</v>
      </c>
      <c r="W294" s="779">
        <v>0</v>
      </c>
      <c r="X294" s="779">
        <v>0</v>
      </c>
      <c r="Y294" s="779">
        <v>0</v>
      </c>
      <c r="Z294" s="779">
        <v>0</v>
      </c>
      <c r="AA294" s="779">
        <v>0</v>
      </c>
      <c r="AB294" s="779">
        <v>0</v>
      </c>
      <c r="AC294" s="779">
        <v>0</v>
      </c>
    </row>
    <row r="295" spans="2:29">
      <c r="F295" s="117"/>
      <c r="G295" s="117"/>
      <c r="H295" s="117"/>
      <c r="I295" s="117"/>
      <c r="S295" s="537" t="s">
        <v>512</v>
      </c>
      <c r="T295" s="780">
        <f t="shared" ref="T295:AC295" si="10">SUM(T290:T294)</f>
        <v>0</v>
      </c>
      <c r="U295" s="780">
        <f t="shared" si="10"/>
        <v>0</v>
      </c>
      <c r="V295" s="780">
        <f t="shared" si="10"/>
        <v>0</v>
      </c>
      <c r="W295" s="780">
        <f t="shared" si="10"/>
        <v>0</v>
      </c>
      <c r="X295" s="780">
        <f t="shared" si="10"/>
        <v>0</v>
      </c>
      <c r="Y295" s="780">
        <f t="shared" si="10"/>
        <v>0</v>
      </c>
      <c r="Z295" s="780">
        <f t="shared" si="10"/>
        <v>0</v>
      </c>
      <c r="AA295" s="780">
        <f t="shared" si="10"/>
        <v>0</v>
      </c>
      <c r="AB295" s="780">
        <f t="shared" si="10"/>
        <v>0</v>
      </c>
      <c r="AC295" s="780">
        <f t="shared" si="10"/>
        <v>0</v>
      </c>
    </row>
    <row r="296" spans="2:29" outlineLevel="1">
      <c r="B296" s="731" t="s">
        <v>397</v>
      </c>
      <c r="C296" s="1088" t="s">
        <v>705</v>
      </c>
      <c r="D296" s="1088"/>
      <c r="E296" s="1088"/>
      <c r="F296" s="1088"/>
      <c r="G296" s="1088"/>
      <c r="H296" s="1088"/>
      <c r="I296" s="1088"/>
      <c r="J296" s="1088"/>
      <c r="K296" s="1088"/>
      <c r="L296" s="1088"/>
      <c r="M296" s="1088"/>
      <c r="N296" s="1088"/>
      <c r="O296" s="1088"/>
      <c r="P296" s="1088"/>
      <c r="Q296" s="1088"/>
      <c r="T296" s="781"/>
      <c r="U296" s="781"/>
      <c r="V296" s="781"/>
      <c r="W296" s="781"/>
      <c r="X296" s="781"/>
      <c r="Y296" s="781"/>
      <c r="Z296" s="781"/>
      <c r="AA296" s="781"/>
      <c r="AB296" s="782"/>
      <c r="AC296" s="781"/>
    </row>
    <row r="297" spans="2:29" outlineLevel="1">
      <c r="B297" s="729" t="s">
        <v>507</v>
      </c>
      <c r="C297" s="1084"/>
      <c r="D297" s="1084"/>
      <c r="E297" s="1084"/>
      <c r="F297" s="1084"/>
      <c r="G297" s="1084"/>
      <c r="H297" s="1084"/>
      <c r="I297" s="1084"/>
      <c r="J297" s="1084"/>
      <c r="K297" s="1084"/>
      <c r="L297" s="1084"/>
      <c r="M297" s="1084"/>
      <c r="N297" s="1084"/>
      <c r="O297" s="1084"/>
      <c r="P297" s="1084"/>
      <c r="Q297" s="1084"/>
      <c r="T297" s="781"/>
      <c r="U297" s="781"/>
      <c r="V297" s="781"/>
      <c r="W297" s="781"/>
      <c r="X297" s="781"/>
      <c r="Y297" s="781"/>
      <c r="Z297" s="781"/>
      <c r="AA297" s="781"/>
      <c r="AB297" s="782"/>
      <c r="AC297" s="781"/>
    </row>
    <row r="298" spans="2:29" outlineLevel="1">
      <c r="B298" s="729" t="s">
        <v>508</v>
      </c>
      <c r="C298" s="1084"/>
      <c r="D298" s="1084"/>
      <c r="E298" s="1084"/>
      <c r="F298" s="1084"/>
      <c r="G298" s="1084"/>
      <c r="H298" s="1084"/>
      <c r="I298" s="1084"/>
      <c r="J298" s="1084"/>
      <c r="K298" s="1084"/>
      <c r="L298" s="1084"/>
      <c r="M298" s="1084"/>
      <c r="N298" s="1084"/>
      <c r="O298" s="1084"/>
      <c r="P298" s="1084"/>
      <c r="Q298" s="1084"/>
      <c r="T298" s="781"/>
      <c r="U298" s="781"/>
      <c r="V298" s="781"/>
      <c r="W298" s="781"/>
      <c r="X298" s="781"/>
      <c r="Y298" s="781"/>
      <c r="Z298" s="781"/>
      <c r="AA298" s="781"/>
      <c r="AB298" s="782"/>
      <c r="AC298" s="781"/>
    </row>
    <row r="299" spans="2:29" outlineLevel="1">
      <c r="B299" s="729" t="s">
        <v>509</v>
      </c>
      <c r="C299" s="1084"/>
      <c r="D299" s="1084"/>
      <c r="E299" s="1084"/>
      <c r="F299" s="1084"/>
      <c r="G299" s="1084"/>
      <c r="H299" s="1084"/>
      <c r="I299" s="1084"/>
      <c r="J299" s="1084"/>
      <c r="K299" s="1084"/>
      <c r="L299" s="1084"/>
      <c r="M299" s="1084"/>
      <c r="N299" s="1084"/>
      <c r="O299" s="1084"/>
      <c r="P299" s="1084"/>
      <c r="Q299" s="1084"/>
      <c r="T299" s="781"/>
      <c r="U299" s="781"/>
      <c r="V299" s="781"/>
      <c r="W299" s="781"/>
      <c r="X299" s="781"/>
      <c r="Y299" s="781"/>
      <c r="Z299" s="781"/>
      <c r="AA299" s="781"/>
      <c r="AB299" s="782"/>
      <c r="AC299" s="781"/>
    </row>
    <row r="300" spans="2:29" outlineLevel="1">
      <c r="B300" s="729" t="s">
        <v>510</v>
      </c>
      <c r="C300" s="1084"/>
      <c r="D300" s="1084"/>
      <c r="E300" s="1084"/>
      <c r="F300" s="1084"/>
      <c r="G300" s="1084"/>
      <c r="H300" s="1084"/>
      <c r="I300" s="1084"/>
      <c r="J300" s="1084"/>
      <c r="K300" s="1084"/>
      <c r="L300" s="1084"/>
      <c r="M300" s="1084"/>
      <c r="N300" s="1084"/>
      <c r="O300" s="1084"/>
      <c r="P300" s="1084"/>
      <c r="Q300" s="1084"/>
      <c r="T300" s="781"/>
      <c r="U300" s="781"/>
      <c r="V300" s="781"/>
      <c r="W300" s="781"/>
      <c r="X300" s="781"/>
      <c r="Y300" s="781"/>
      <c r="Z300" s="781"/>
      <c r="AA300" s="781"/>
      <c r="AB300" s="782"/>
      <c r="AC300" s="781"/>
    </row>
    <row r="301" spans="2:29" outlineLevel="1">
      <c r="B301" s="729" t="s">
        <v>511</v>
      </c>
      <c r="C301" s="1085" t="s">
        <v>479</v>
      </c>
      <c r="D301" s="1085"/>
      <c r="E301" s="1085"/>
      <c r="F301" s="1085"/>
      <c r="G301" s="1085"/>
      <c r="H301" s="1085"/>
      <c r="I301" s="1085"/>
      <c r="J301" s="1085"/>
      <c r="K301" s="1085"/>
      <c r="L301" s="1085"/>
      <c r="M301" s="1085"/>
      <c r="N301" s="1085"/>
      <c r="O301" s="1085"/>
      <c r="P301" s="1085"/>
      <c r="Q301" s="1085"/>
      <c r="T301" s="781"/>
      <c r="U301" s="781"/>
      <c r="V301" s="781"/>
      <c r="W301" s="781"/>
      <c r="X301" s="781"/>
      <c r="Y301" s="781"/>
      <c r="Z301" s="781"/>
      <c r="AA301" s="781"/>
      <c r="AB301" s="782"/>
      <c r="AC301" s="781"/>
    </row>
    <row r="302" spans="2:29">
      <c r="T302" s="781"/>
      <c r="U302" s="781"/>
      <c r="V302" s="781"/>
      <c r="W302" s="781"/>
      <c r="X302" s="781"/>
      <c r="Y302" s="781"/>
      <c r="Z302" s="781"/>
      <c r="AA302" s="781"/>
      <c r="AB302" s="782"/>
      <c r="AC302" s="781"/>
    </row>
    <row r="303" spans="2:29">
      <c r="F303" s="117"/>
      <c r="G303" s="117"/>
      <c r="H303" s="117"/>
      <c r="I303" s="117"/>
      <c r="T303" s="781"/>
      <c r="U303" s="781"/>
      <c r="V303" s="781"/>
      <c r="W303" s="781"/>
      <c r="X303" s="781"/>
      <c r="Y303" s="781"/>
      <c r="Z303" s="781"/>
      <c r="AA303" s="781"/>
      <c r="AB303" s="782"/>
      <c r="AC303" s="781"/>
    </row>
    <row r="304" spans="2:29">
      <c r="B304" s="201" t="s">
        <v>513</v>
      </c>
      <c r="C304" s="201"/>
      <c r="D304" s="118" t="s">
        <v>621</v>
      </c>
      <c r="E304" s="98"/>
      <c r="T304" s="781"/>
      <c r="U304" s="781"/>
      <c r="V304" s="781"/>
      <c r="W304" s="781"/>
      <c r="X304" s="781"/>
      <c r="Y304" s="781"/>
      <c r="Z304" s="781"/>
      <c r="AA304" s="781"/>
      <c r="AB304" s="782"/>
      <c r="AC304" s="781"/>
    </row>
    <row r="305" spans="2:29">
      <c r="B305" s="201"/>
      <c r="C305" s="201"/>
      <c r="D305" s="98"/>
      <c r="E305" s="98"/>
      <c r="T305" s="781"/>
      <c r="U305" s="781"/>
      <c r="V305" s="781"/>
      <c r="W305" s="781"/>
      <c r="X305" s="781"/>
      <c r="Y305" s="781"/>
      <c r="Z305" s="781"/>
      <c r="AA305" s="781"/>
      <c r="AB305" s="782"/>
      <c r="AC305" s="781"/>
    </row>
    <row r="306" spans="2:29" ht="27" outlineLevel="1">
      <c r="B306" s="731"/>
      <c r="C306" s="723" t="s">
        <v>678</v>
      </c>
      <c r="D306" s="536" t="s">
        <v>469</v>
      </c>
      <c r="E306" s="536" t="s">
        <v>470</v>
      </c>
      <c r="F306" s="1089" t="s">
        <v>471</v>
      </c>
      <c r="G306" s="1089"/>
      <c r="H306" s="1089"/>
      <c r="I306" s="1089"/>
      <c r="J306" s="1089"/>
      <c r="K306" s="1089"/>
      <c r="L306" s="1089"/>
      <c r="M306" s="1089"/>
      <c r="N306" s="1089"/>
      <c r="O306" s="723" t="s">
        <v>485</v>
      </c>
      <c r="P306" s="536" t="s">
        <v>708</v>
      </c>
      <c r="Q306" s="536" t="s">
        <v>694</v>
      </c>
      <c r="T306" s="781"/>
      <c r="U306" s="781"/>
      <c r="V306" s="781"/>
      <c r="W306" s="781"/>
      <c r="X306" s="781"/>
      <c r="Y306" s="781"/>
      <c r="Z306" s="781"/>
      <c r="AA306" s="781"/>
      <c r="AB306" s="782"/>
      <c r="AC306" s="781"/>
    </row>
    <row r="307" spans="2:29" outlineLevel="1">
      <c r="B307" s="729" t="s">
        <v>397</v>
      </c>
      <c r="C307" s="729"/>
      <c r="D307" s="536" t="s">
        <v>472</v>
      </c>
      <c r="E307" s="536" t="s">
        <v>472</v>
      </c>
      <c r="F307" s="1089"/>
      <c r="G307" s="1089"/>
      <c r="H307" s="1089"/>
      <c r="I307" s="1089"/>
      <c r="J307" s="1089"/>
      <c r="K307" s="1089"/>
      <c r="L307" s="1089"/>
      <c r="M307" s="1089"/>
      <c r="N307" s="1089"/>
      <c r="O307" s="723" t="s">
        <v>398</v>
      </c>
      <c r="P307" s="759" t="s">
        <v>709</v>
      </c>
      <c r="Q307" s="728" t="s">
        <v>152</v>
      </c>
      <c r="T307" s="785" t="s">
        <v>398</v>
      </c>
      <c r="U307" s="785" t="s">
        <v>398</v>
      </c>
      <c r="V307" s="785" t="s">
        <v>398</v>
      </c>
      <c r="W307" s="785" t="s">
        <v>398</v>
      </c>
      <c r="X307" s="785" t="s">
        <v>398</v>
      </c>
      <c r="Y307" s="785" t="s">
        <v>398</v>
      </c>
      <c r="Z307" s="785" t="s">
        <v>398</v>
      </c>
      <c r="AA307" s="785" t="s">
        <v>398</v>
      </c>
      <c r="AB307" s="785" t="s">
        <v>398</v>
      </c>
      <c r="AC307" s="785" t="s">
        <v>398</v>
      </c>
    </row>
    <row r="308" spans="2:29" outlineLevel="1">
      <c r="B308" s="729" t="s">
        <v>515</v>
      </c>
      <c r="C308" s="739"/>
      <c r="D308" s="739"/>
      <c r="E308" s="739"/>
      <c r="F308" s="1087"/>
      <c r="G308" s="1087"/>
      <c r="H308" s="1087"/>
      <c r="I308" s="1087"/>
      <c r="J308" s="1087"/>
      <c r="K308" s="1087"/>
      <c r="L308" s="1087"/>
      <c r="M308" s="1087"/>
      <c r="N308" s="1087"/>
      <c r="O308" s="760"/>
      <c r="P308" s="745"/>
      <c r="Q308" s="756"/>
      <c r="T308" s="779">
        <v>0</v>
      </c>
      <c r="U308" s="779">
        <v>0</v>
      </c>
      <c r="V308" s="779">
        <v>0</v>
      </c>
      <c r="W308" s="779">
        <v>0</v>
      </c>
      <c r="X308" s="779">
        <v>0</v>
      </c>
      <c r="Y308" s="779">
        <v>0</v>
      </c>
      <c r="Z308" s="779">
        <v>0</v>
      </c>
      <c r="AA308" s="779">
        <v>0</v>
      </c>
      <c r="AB308" s="779">
        <v>0</v>
      </c>
      <c r="AC308" s="779">
        <v>0</v>
      </c>
    </row>
    <row r="309" spans="2:29" outlineLevel="1">
      <c r="B309" s="729" t="s">
        <v>516</v>
      </c>
      <c r="C309" s="739"/>
      <c r="D309" s="739"/>
      <c r="E309" s="739"/>
      <c r="F309" s="1087"/>
      <c r="G309" s="1087"/>
      <c r="H309" s="1087"/>
      <c r="I309" s="1087"/>
      <c r="J309" s="1087"/>
      <c r="K309" s="1087"/>
      <c r="L309" s="1087"/>
      <c r="M309" s="1087"/>
      <c r="N309" s="1087"/>
      <c r="O309" s="760"/>
      <c r="P309" s="748"/>
      <c r="Q309" s="756"/>
      <c r="T309" s="779">
        <v>0</v>
      </c>
      <c r="U309" s="779">
        <v>0</v>
      </c>
      <c r="V309" s="779">
        <v>0</v>
      </c>
      <c r="W309" s="779">
        <v>0</v>
      </c>
      <c r="X309" s="779">
        <v>0</v>
      </c>
      <c r="Y309" s="779">
        <v>0</v>
      </c>
      <c r="Z309" s="779">
        <v>0</v>
      </c>
      <c r="AA309" s="779">
        <v>0</v>
      </c>
      <c r="AB309" s="779">
        <v>0</v>
      </c>
      <c r="AC309" s="779">
        <v>0</v>
      </c>
    </row>
    <row r="310" spans="2:29" outlineLevel="1">
      <c r="B310" s="729" t="s">
        <v>517</v>
      </c>
      <c r="C310" s="739"/>
      <c r="D310" s="739"/>
      <c r="E310" s="739"/>
      <c r="F310" s="1087"/>
      <c r="G310" s="1087"/>
      <c r="H310" s="1087"/>
      <c r="I310" s="1087"/>
      <c r="J310" s="1087"/>
      <c r="K310" s="1087"/>
      <c r="L310" s="1087"/>
      <c r="M310" s="1087"/>
      <c r="N310" s="1087"/>
      <c r="O310" s="760"/>
      <c r="P310" s="748"/>
      <c r="Q310" s="756"/>
      <c r="T310" s="779">
        <v>0</v>
      </c>
      <c r="U310" s="779">
        <v>0</v>
      </c>
      <c r="V310" s="779">
        <v>0</v>
      </c>
      <c r="W310" s="779">
        <v>0</v>
      </c>
      <c r="X310" s="779">
        <v>0</v>
      </c>
      <c r="Y310" s="779">
        <v>0</v>
      </c>
      <c r="Z310" s="779">
        <v>0</v>
      </c>
      <c r="AA310" s="779">
        <v>0</v>
      </c>
      <c r="AB310" s="779">
        <v>0</v>
      </c>
      <c r="AC310" s="779">
        <v>0</v>
      </c>
    </row>
    <row r="311" spans="2:29" outlineLevel="1">
      <c r="B311" s="729" t="s">
        <v>518</v>
      </c>
      <c r="C311" s="739"/>
      <c r="D311" s="739"/>
      <c r="E311" s="739"/>
      <c r="F311" s="1087"/>
      <c r="G311" s="1087"/>
      <c r="H311" s="1087"/>
      <c r="I311" s="1087"/>
      <c r="J311" s="1087"/>
      <c r="K311" s="1087"/>
      <c r="L311" s="1087"/>
      <c r="M311" s="1087"/>
      <c r="N311" s="1087"/>
      <c r="O311" s="760"/>
      <c r="P311" s="748"/>
      <c r="Q311" s="756"/>
      <c r="T311" s="779">
        <v>0</v>
      </c>
      <c r="U311" s="779">
        <v>0</v>
      </c>
      <c r="V311" s="779">
        <v>0</v>
      </c>
      <c r="W311" s="779">
        <v>0</v>
      </c>
      <c r="X311" s="779">
        <v>0</v>
      </c>
      <c r="Y311" s="779">
        <v>0</v>
      </c>
      <c r="Z311" s="779">
        <v>0</v>
      </c>
      <c r="AA311" s="779">
        <v>0</v>
      </c>
      <c r="AB311" s="779">
        <v>0</v>
      </c>
      <c r="AC311" s="779">
        <v>0</v>
      </c>
    </row>
    <row r="312" spans="2:29" outlineLevel="1">
      <c r="B312" s="729" t="s">
        <v>519</v>
      </c>
      <c r="C312" s="1085" t="s">
        <v>479</v>
      </c>
      <c r="D312" s="1085"/>
      <c r="E312" s="1085"/>
      <c r="F312" s="1085"/>
      <c r="G312" s="1085"/>
      <c r="H312" s="1085"/>
      <c r="I312" s="1085"/>
      <c r="J312" s="1085"/>
      <c r="K312" s="1085"/>
      <c r="L312" s="1085"/>
      <c r="M312" s="1085"/>
      <c r="N312" s="1085"/>
      <c r="O312" s="1085"/>
      <c r="P312" s="1085"/>
      <c r="Q312" s="1085"/>
      <c r="T312" s="779">
        <v>0</v>
      </c>
      <c r="U312" s="779">
        <v>0</v>
      </c>
      <c r="V312" s="779">
        <v>0</v>
      </c>
      <c r="W312" s="779">
        <v>0</v>
      </c>
      <c r="X312" s="779">
        <v>0</v>
      </c>
      <c r="Y312" s="779">
        <v>0</v>
      </c>
      <c r="Z312" s="779">
        <v>0</v>
      </c>
      <c r="AA312" s="779">
        <v>0</v>
      </c>
      <c r="AB312" s="779">
        <v>0</v>
      </c>
      <c r="AC312" s="779">
        <v>0</v>
      </c>
    </row>
    <row r="313" spans="2:29">
      <c r="F313" s="117"/>
      <c r="G313" s="117"/>
      <c r="H313" s="117"/>
      <c r="I313" s="117"/>
      <c r="R313" s="99" t="s">
        <v>710</v>
      </c>
      <c r="S313" s="537" t="s">
        <v>520</v>
      </c>
      <c r="T313" s="780">
        <f t="shared" ref="T313:AC313" si="11">SUM(T308:T312)</f>
        <v>0</v>
      </c>
      <c r="U313" s="780">
        <f t="shared" si="11"/>
        <v>0</v>
      </c>
      <c r="V313" s="780">
        <f t="shared" si="11"/>
        <v>0</v>
      </c>
      <c r="W313" s="780">
        <f t="shared" si="11"/>
        <v>0</v>
      </c>
      <c r="X313" s="780">
        <f t="shared" si="11"/>
        <v>0</v>
      </c>
      <c r="Y313" s="780">
        <f t="shared" si="11"/>
        <v>0</v>
      </c>
      <c r="Z313" s="780">
        <f t="shared" si="11"/>
        <v>0</v>
      </c>
      <c r="AA313" s="780">
        <f t="shared" si="11"/>
        <v>0</v>
      </c>
      <c r="AB313" s="780">
        <f t="shared" si="11"/>
        <v>0</v>
      </c>
      <c r="AC313" s="780">
        <f t="shared" si="11"/>
        <v>0</v>
      </c>
    </row>
    <row r="314" spans="2:29" outlineLevel="1">
      <c r="B314" s="731" t="s">
        <v>397</v>
      </c>
      <c r="C314" s="1088" t="s">
        <v>705</v>
      </c>
      <c r="D314" s="1088"/>
      <c r="E314" s="1088"/>
      <c r="F314" s="1088"/>
      <c r="G314" s="1088"/>
      <c r="H314" s="1088"/>
      <c r="I314" s="1088"/>
      <c r="J314" s="1088"/>
      <c r="K314" s="1088"/>
      <c r="L314" s="1088"/>
      <c r="M314" s="1088"/>
      <c r="N314" s="1088"/>
      <c r="O314" s="1088"/>
      <c r="P314" s="1088"/>
      <c r="Q314" s="1088"/>
      <c r="T314" s="781"/>
      <c r="U314" s="781"/>
      <c r="V314" s="781"/>
      <c r="W314" s="781"/>
      <c r="X314" s="781"/>
      <c r="Y314" s="781"/>
      <c r="Z314" s="781"/>
      <c r="AA314" s="781"/>
      <c r="AB314" s="782"/>
      <c r="AC314" s="781"/>
    </row>
    <row r="315" spans="2:29" outlineLevel="1">
      <c r="B315" s="729" t="s">
        <v>515</v>
      </c>
      <c r="C315" s="1084"/>
      <c r="D315" s="1084"/>
      <c r="E315" s="1084"/>
      <c r="F315" s="1084"/>
      <c r="G315" s="1084"/>
      <c r="H315" s="1084"/>
      <c r="I315" s="1084"/>
      <c r="J315" s="1084"/>
      <c r="K315" s="1084"/>
      <c r="L315" s="1084"/>
      <c r="M315" s="1084"/>
      <c r="N315" s="1084"/>
      <c r="O315" s="1084"/>
      <c r="P315" s="1084"/>
      <c r="Q315" s="1084"/>
      <c r="T315" s="781"/>
      <c r="U315" s="781"/>
      <c r="V315" s="781"/>
      <c r="W315" s="781"/>
      <c r="X315" s="781"/>
      <c r="Y315" s="781"/>
      <c r="Z315" s="781"/>
      <c r="AA315" s="781"/>
      <c r="AB315" s="782"/>
      <c r="AC315" s="781"/>
    </row>
    <row r="316" spans="2:29" outlineLevel="1">
      <c r="B316" s="729" t="s">
        <v>516</v>
      </c>
      <c r="C316" s="1084"/>
      <c r="D316" s="1084"/>
      <c r="E316" s="1084"/>
      <c r="F316" s="1084"/>
      <c r="G316" s="1084"/>
      <c r="H316" s="1084"/>
      <c r="I316" s="1084"/>
      <c r="J316" s="1084"/>
      <c r="K316" s="1084"/>
      <c r="L316" s="1084"/>
      <c r="M316" s="1084"/>
      <c r="N316" s="1084"/>
      <c r="O316" s="1084"/>
      <c r="P316" s="1084"/>
      <c r="Q316" s="1084"/>
      <c r="T316" s="781"/>
      <c r="U316" s="781"/>
      <c r="V316" s="781"/>
      <c r="W316" s="781"/>
      <c r="X316" s="781"/>
      <c r="Y316" s="781"/>
      <c r="Z316" s="781"/>
      <c r="AA316" s="781"/>
      <c r="AB316" s="782"/>
      <c r="AC316" s="781"/>
    </row>
    <row r="317" spans="2:29" outlineLevel="1">
      <c r="B317" s="729" t="s">
        <v>517</v>
      </c>
      <c r="C317" s="1084"/>
      <c r="D317" s="1084"/>
      <c r="E317" s="1084"/>
      <c r="F317" s="1084"/>
      <c r="G317" s="1084"/>
      <c r="H317" s="1084"/>
      <c r="I317" s="1084"/>
      <c r="J317" s="1084"/>
      <c r="K317" s="1084"/>
      <c r="L317" s="1084"/>
      <c r="M317" s="1084"/>
      <c r="N317" s="1084"/>
      <c r="O317" s="1084"/>
      <c r="P317" s="1084"/>
      <c r="Q317" s="1084"/>
      <c r="T317" s="781"/>
      <c r="U317" s="781"/>
      <c r="V317" s="781"/>
      <c r="W317" s="781"/>
      <c r="X317" s="781"/>
      <c r="Y317" s="781"/>
      <c r="Z317" s="781"/>
      <c r="AA317" s="781"/>
      <c r="AB317" s="782"/>
      <c r="AC317" s="781"/>
    </row>
    <row r="318" spans="2:29" outlineLevel="1">
      <c r="B318" s="729" t="s">
        <v>518</v>
      </c>
      <c r="C318" s="1084"/>
      <c r="D318" s="1084"/>
      <c r="E318" s="1084"/>
      <c r="F318" s="1084"/>
      <c r="G318" s="1084"/>
      <c r="H318" s="1084"/>
      <c r="I318" s="1084"/>
      <c r="J318" s="1084"/>
      <c r="K318" s="1084"/>
      <c r="L318" s="1084"/>
      <c r="M318" s="1084"/>
      <c r="N318" s="1084"/>
      <c r="O318" s="1084"/>
      <c r="P318" s="1084"/>
      <c r="Q318" s="1084"/>
      <c r="T318" s="781"/>
      <c r="U318" s="781"/>
      <c r="V318" s="781"/>
      <c r="W318" s="781"/>
      <c r="X318" s="781"/>
      <c r="Y318" s="781"/>
      <c r="Z318" s="781"/>
      <c r="AA318" s="781"/>
      <c r="AB318" s="782"/>
      <c r="AC318" s="781"/>
    </row>
    <row r="319" spans="2:29" outlineLevel="1">
      <c r="B319" s="729" t="s">
        <v>519</v>
      </c>
      <c r="C319" s="1085" t="s">
        <v>479</v>
      </c>
      <c r="D319" s="1085"/>
      <c r="E319" s="1085"/>
      <c r="F319" s="1085"/>
      <c r="G319" s="1085"/>
      <c r="H319" s="1085"/>
      <c r="I319" s="1085"/>
      <c r="J319" s="1085"/>
      <c r="K319" s="1085"/>
      <c r="L319" s="1085"/>
      <c r="M319" s="1085"/>
      <c r="N319" s="1085"/>
      <c r="O319" s="1085"/>
      <c r="P319" s="1085"/>
      <c r="Q319" s="1085"/>
      <c r="T319" s="781"/>
      <c r="U319" s="781"/>
      <c r="V319" s="781"/>
      <c r="W319" s="781"/>
      <c r="X319" s="781"/>
      <c r="Y319" s="781"/>
      <c r="Z319" s="781"/>
      <c r="AA319" s="781"/>
      <c r="AB319" s="782"/>
      <c r="AC319" s="781"/>
    </row>
    <row r="320" spans="2:29">
      <c r="T320" s="781"/>
      <c r="U320" s="781"/>
      <c r="V320" s="781"/>
      <c r="W320" s="781"/>
      <c r="X320" s="781"/>
      <c r="Y320" s="781"/>
      <c r="Z320" s="781"/>
      <c r="AA320" s="781"/>
      <c r="AB320" s="782"/>
      <c r="AC320" s="781"/>
    </row>
    <row r="321" spans="2:29">
      <c r="T321" s="781"/>
      <c r="U321" s="781"/>
      <c r="V321" s="781"/>
      <c r="W321" s="781"/>
      <c r="X321" s="781"/>
      <c r="Y321" s="781"/>
      <c r="Z321" s="781"/>
      <c r="AA321" s="781"/>
      <c r="AB321" s="782"/>
      <c r="AC321" s="781"/>
    </row>
    <row r="322" spans="2:29">
      <c r="B322" s="201" t="s">
        <v>521</v>
      </c>
      <c r="C322" s="201"/>
      <c r="D322" s="118" t="s">
        <v>622</v>
      </c>
      <c r="E322" s="98"/>
      <c r="T322" s="781"/>
      <c r="U322" s="781"/>
      <c r="V322" s="781"/>
      <c r="W322" s="781"/>
      <c r="X322" s="781"/>
      <c r="Y322" s="781"/>
      <c r="Z322" s="781"/>
      <c r="AA322" s="781"/>
      <c r="AB322" s="782"/>
      <c r="AC322" s="781"/>
    </row>
    <row r="323" spans="2:29" ht="27" outlineLevel="1">
      <c r="B323" s="731" t="s">
        <v>397</v>
      </c>
      <c r="C323" s="723" t="s">
        <v>678</v>
      </c>
      <c r="D323" s="1092" t="s">
        <v>445</v>
      </c>
      <c r="E323" s="1092"/>
      <c r="F323" s="1092"/>
      <c r="G323" s="1092"/>
      <c r="H323" s="1092"/>
      <c r="I323" s="1092"/>
      <c r="J323" s="1092"/>
      <c r="K323" s="1092"/>
      <c r="L323" s="1092"/>
      <c r="M323" s="1092"/>
      <c r="N323" s="1092"/>
      <c r="O323" s="1092"/>
      <c r="P323" s="1092"/>
      <c r="Q323" s="1092"/>
      <c r="T323" s="785" t="s">
        <v>398</v>
      </c>
      <c r="U323" s="785" t="s">
        <v>398</v>
      </c>
      <c r="V323" s="785" t="s">
        <v>398</v>
      </c>
      <c r="W323" s="785" t="s">
        <v>398</v>
      </c>
      <c r="X323" s="785" t="s">
        <v>398</v>
      </c>
      <c r="Y323" s="785" t="s">
        <v>398</v>
      </c>
      <c r="Z323" s="785" t="s">
        <v>398</v>
      </c>
      <c r="AA323" s="785" t="s">
        <v>398</v>
      </c>
      <c r="AB323" s="785" t="s">
        <v>398</v>
      </c>
      <c r="AC323" s="785" t="s">
        <v>398</v>
      </c>
    </row>
    <row r="324" spans="2:29" outlineLevel="1">
      <c r="B324" s="775" t="s">
        <v>523</v>
      </c>
      <c r="C324" s="739"/>
      <c r="D324" s="1084" t="s">
        <v>1357</v>
      </c>
      <c r="E324" s="1084"/>
      <c r="F324" s="1084"/>
      <c r="G324" s="1084"/>
      <c r="H324" s="1084"/>
      <c r="I324" s="1084"/>
      <c r="J324" s="1084"/>
      <c r="K324" s="1084"/>
      <c r="L324" s="1084"/>
      <c r="M324" s="1084"/>
      <c r="N324" s="1084"/>
      <c r="O324" s="1084"/>
      <c r="P324" s="1084"/>
      <c r="Q324" s="1084"/>
      <c r="T324" s="779">
        <v>0</v>
      </c>
      <c r="U324" s="779">
        <v>0</v>
      </c>
      <c r="V324" s="779">
        <v>0</v>
      </c>
      <c r="W324" s="779">
        <v>0</v>
      </c>
      <c r="X324" s="779">
        <v>0</v>
      </c>
      <c r="Y324" s="779">
        <v>0</v>
      </c>
      <c r="Z324" s="779">
        <v>0</v>
      </c>
      <c r="AA324" s="779">
        <v>0</v>
      </c>
      <c r="AB324" s="779">
        <v>0</v>
      </c>
      <c r="AC324" s="779">
        <v>0</v>
      </c>
    </row>
    <row r="325" spans="2:29" outlineLevel="1">
      <c r="B325" s="775" t="s">
        <v>524</v>
      </c>
      <c r="C325" s="739"/>
      <c r="D325" s="1084" t="s">
        <v>1358</v>
      </c>
      <c r="E325" s="1084"/>
      <c r="F325" s="1084"/>
      <c r="G325" s="1084"/>
      <c r="H325" s="1084"/>
      <c r="I325" s="1084"/>
      <c r="J325" s="1084"/>
      <c r="K325" s="1084"/>
      <c r="L325" s="1084"/>
      <c r="M325" s="1084"/>
      <c r="N325" s="1084"/>
      <c r="O325" s="1084"/>
      <c r="P325" s="1084"/>
      <c r="Q325" s="1084"/>
      <c r="T325" s="779">
        <v>0</v>
      </c>
      <c r="U325" s="779">
        <v>0</v>
      </c>
      <c r="V325" s="779">
        <v>0</v>
      </c>
      <c r="W325" s="779">
        <v>0</v>
      </c>
      <c r="X325" s="779">
        <v>0</v>
      </c>
      <c r="Y325" s="779">
        <v>0</v>
      </c>
      <c r="Z325" s="779">
        <v>0</v>
      </c>
      <c r="AA325" s="779">
        <v>0</v>
      </c>
      <c r="AB325" s="779">
        <v>0</v>
      </c>
      <c r="AC325" s="779">
        <v>0</v>
      </c>
    </row>
    <row r="326" spans="2:29" outlineLevel="1">
      <c r="B326" s="775" t="s">
        <v>525</v>
      </c>
      <c r="C326" s="739"/>
      <c r="D326" s="1084" t="s">
        <v>1359</v>
      </c>
      <c r="E326" s="1084"/>
      <c r="F326" s="1084"/>
      <c r="G326" s="1084"/>
      <c r="H326" s="1084"/>
      <c r="I326" s="1084"/>
      <c r="J326" s="1084"/>
      <c r="K326" s="1084"/>
      <c r="L326" s="1084"/>
      <c r="M326" s="1084"/>
      <c r="N326" s="1084"/>
      <c r="O326" s="1084"/>
      <c r="P326" s="1084"/>
      <c r="Q326" s="1084"/>
      <c r="T326" s="779">
        <v>0</v>
      </c>
      <c r="U326" s="779">
        <v>0</v>
      </c>
      <c r="V326" s="779">
        <v>0</v>
      </c>
      <c r="W326" s="779">
        <v>0</v>
      </c>
      <c r="X326" s="779">
        <v>0</v>
      </c>
      <c r="Y326" s="779">
        <v>0</v>
      </c>
      <c r="Z326" s="779">
        <v>0</v>
      </c>
      <c r="AA326" s="779">
        <v>0</v>
      </c>
      <c r="AB326" s="779">
        <v>0</v>
      </c>
      <c r="AC326" s="779">
        <v>0</v>
      </c>
    </row>
    <row r="327" spans="2:29" outlineLevel="1">
      <c r="B327" s="775" t="s">
        <v>526</v>
      </c>
      <c r="C327" s="739"/>
      <c r="D327" s="1084" t="s">
        <v>1360</v>
      </c>
      <c r="E327" s="1084"/>
      <c r="F327" s="1084"/>
      <c r="G327" s="1084"/>
      <c r="H327" s="1084"/>
      <c r="I327" s="1084"/>
      <c r="J327" s="1084"/>
      <c r="K327" s="1084"/>
      <c r="L327" s="1084"/>
      <c r="M327" s="1084"/>
      <c r="N327" s="1084"/>
      <c r="O327" s="1084"/>
      <c r="P327" s="1084"/>
      <c r="Q327" s="1084"/>
      <c r="T327" s="779">
        <v>0</v>
      </c>
      <c r="U327" s="779">
        <v>0</v>
      </c>
      <c r="V327" s="779">
        <v>0</v>
      </c>
      <c r="W327" s="779">
        <v>0</v>
      </c>
      <c r="X327" s="779">
        <v>0</v>
      </c>
      <c r="Y327" s="779">
        <v>0</v>
      </c>
      <c r="Z327" s="779">
        <v>0</v>
      </c>
      <c r="AA327" s="779">
        <v>0</v>
      </c>
      <c r="AB327" s="779">
        <v>0</v>
      </c>
      <c r="AC327" s="779">
        <v>0</v>
      </c>
    </row>
    <row r="328" spans="2:29" outlineLevel="1">
      <c r="B328" s="775" t="s">
        <v>1049</v>
      </c>
      <c r="C328" s="739"/>
      <c r="D328" s="1084" t="s">
        <v>1361</v>
      </c>
      <c r="E328" s="1084"/>
      <c r="F328" s="1084"/>
      <c r="G328" s="1084"/>
      <c r="H328" s="1084"/>
      <c r="I328" s="1084"/>
      <c r="J328" s="1084"/>
      <c r="K328" s="1084"/>
      <c r="L328" s="1084"/>
      <c r="M328" s="1084"/>
      <c r="N328" s="1084"/>
      <c r="O328" s="1084"/>
      <c r="P328" s="1084"/>
      <c r="Q328" s="1084"/>
      <c r="T328" s="779">
        <v>0</v>
      </c>
      <c r="U328" s="779">
        <v>0</v>
      </c>
      <c r="V328" s="779">
        <v>0</v>
      </c>
      <c r="W328" s="779">
        <v>0</v>
      </c>
      <c r="X328" s="779">
        <v>0</v>
      </c>
      <c r="Y328" s="779">
        <v>0</v>
      </c>
      <c r="Z328" s="779">
        <v>0</v>
      </c>
      <c r="AA328" s="779">
        <v>0</v>
      </c>
      <c r="AB328" s="779">
        <v>0</v>
      </c>
      <c r="AC328" s="779">
        <v>0</v>
      </c>
    </row>
    <row r="329" spans="2:29" outlineLevel="1">
      <c r="B329" s="775" t="s">
        <v>1050</v>
      </c>
      <c r="C329" s="739"/>
      <c r="D329" s="1084" t="s">
        <v>1362</v>
      </c>
      <c r="E329" s="1084"/>
      <c r="F329" s="1084"/>
      <c r="G329" s="1084"/>
      <c r="H329" s="1084"/>
      <c r="I329" s="1084"/>
      <c r="J329" s="1084"/>
      <c r="K329" s="1084"/>
      <c r="L329" s="1084"/>
      <c r="M329" s="1084"/>
      <c r="N329" s="1084"/>
      <c r="O329" s="1084"/>
      <c r="P329" s="1084"/>
      <c r="Q329" s="1084"/>
      <c r="T329" s="779">
        <v>0</v>
      </c>
      <c r="U329" s="779">
        <v>0</v>
      </c>
      <c r="V329" s="779">
        <v>0</v>
      </c>
      <c r="W329" s="779">
        <v>0</v>
      </c>
      <c r="X329" s="779">
        <v>0</v>
      </c>
      <c r="Y329" s="779">
        <v>0</v>
      </c>
      <c r="Z329" s="779">
        <v>0</v>
      </c>
      <c r="AA329" s="779">
        <v>0</v>
      </c>
      <c r="AB329" s="779">
        <v>0</v>
      </c>
      <c r="AC329" s="779">
        <v>0</v>
      </c>
    </row>
    <row r="330" spans="2:29" outlineLevel="1">
      <c r="B330" s="775" t="s">
        <v>1051</v>
      </c>
      <c r="C330" s="739"/>
      <c r="D330" s="1084" t="s">
        <v>1363</v>
      </c>
      <c r="E330" s="1084"/>
      <c r="F330" s="1084"/>
      <c r="G330" s="1084"/>
      <c r="H330" s="1084"/>
      <c r="I330" s="1084"/>
      <c r="J330" s="1084"/>
      <c r="K330" s="1084"/>
      <c r="L330" s="1084"/>
      <c r="M330" s="1084"/>
      <c r="N330" s="1084"/>
      <c r="O330" s="1084"/>
      <c r="P330" s="1084"/>
      <c r="Q330" s="1084"/>
      <c r="T330" s="779">
        <v>0</v>
      </c>
      <c r="U330" s="779">
        <v>0</v>
      </c>
      <c r="V330" s="779">
        <v>0</v>
      </c>
      <c r="W330" s="779">
        <v>0</v>
      </c>
      <c r="X330" s="779">
        <v>0</v>
      </c>
      <c r="Y330" s="779">
        <v>0</v>
      </c>
      <c r="Z330" s="779">
        <v>0</v>
      </c>
      <c r="AA330" s="779">
        <v>0</v>
      </c>
      <c r="AB330" s="779">
        <v>0</v>
      </c>
      <c r="AC330" s="779">
        <v>0</v>
      </c>
    </row>
    <row r="331" spans="2:29" outlineLevel="1">
      <c r="B331" s="775" t="s">
        <v>1052</v>
      </c>
      <c r="C331" s="739"/>
      <c r="D331" s="1084" t="s">
        <v>1364</v>
      </c>
      <c r="E331" s="1084"/>
      <c r="F331" s="1084"/>
      <c r="G331" s="1084"/>
      <c r="H331" s="1084"/>
      <c r="I331" s="1084"/>
      <c r="J331" s="1084"/>
      <c r="K331" s="1084"/>
      <c r="L331" s="1084"/>
      <c r="M331" s="1084"/>
      <c r="N331" s="1084"/>
      <c r="O331" s="1084"/>
      <c r="P331" s="1084"/>
      <c r="Q331" s="1084"/>
      <c r="T331" s="779">
        <v>0.1</v>
      </c>
      <c r="U331" s="779">
        <v>0.1</v>
      </c>
      <c r="V331" s="779">
        <v>0.1</v>
      </c>
      <c r="W331" s="779">
        <v>0.1</v>
      </c>
      <c r="X331" s="779">
        <v>0.1</v>
      </c>
      <c r="Y331" s="779">
        <v>0.1</v>
      </c>
      <c r="Z331" s="779">
        <v>0.1</v>
      </c>
      <c r="AA331" s="779">
        <v>0.1</v>
      </c>
      <c r="AB331" s="779">
        <v>0.1</v>
      </c>
      <c r="AC331" s="779">
        <v>0.1</v>
      </c>
    </row>
    <row r="332" spans="2:29" outlineLevel="1">
      <c r="B332" s="775" t="s">
        <v>1053</v>
      </c>
      <c r="C332" s="739"/>
      <c r="D332" s="1084" t="s">
        <v>1365</v>
      </c>
      <c r="E332" s="1084"/>
      <c r="F332" s="1084"/>
      <c r="G332" s="1084"/>
      <c r="H332" s="1084"/>
      <c r="I332" s="1084"/>
      <c r="J332" s="1084"/>
      <c r="K332" s="1084"/>
      <c r="L332" s="1084"/>
      <c r="M332" s="1084"/>
      <c r="N332" s="1084"/>
      <c r="O332" s="1084"/>
      <c r="P332" s="1084"/>
      <c r="Q332" s="1084"/>
      <c r="T332" s="779">
        <v>0</v>
      </c>
      <c r="U332" s="779">
        <v>0</v>
      </c>
      <c r="V332" s="779">
        <v>0</v>
      </c>
      <c r="W332" s="779">
        <v>0</v>
      </c>
      <c r="X332" s="779">
        <v>0</v>
      </c>
      <c r="Y332" s="779">
        <v>0</v>
      </c>
      <c r="Z332" s="779">
        <v>0</v>
      </c>
      <c r="AA332" s="779">
        <v>0</v>
      </c>
      <c r="AB332" s="779">
        <v>0</v>
      </c>
      <c r="AC332" s="779">
        <v>0</v>
      </c>
    </row>
    <row r="333" spans="2:29" outlineLevel="1">
      <c r="B333" s="775" t="s">
        <v>1054</v>
      </c>
      <c r="C333" s="739"/>
      <c r="D333" s="1084" t="s">
        <v>1366</v>
      </c>
      <c r="E333" s="1084"/>
      <c r="F333" s="1084"/>
      <c r="G333" s="1084"/>
      <c r="H333" s="1084"/>
      <c r="I333" s="1084"/>
      <c r="J333" s="1084"/>
      <c r="K333" s="1084"/>
      <c r="L333" s="1084"/>
      <c r="M333" s="1084"/>
      <c r="N333" s="1084"/>
      <c r="O333" s="1084"/>
      <c r="P333" s="1084"/>
      <c r="Q333" s="1084"/>
      <c r="T333" s="779">
        <v>0</v>
      </c>
      <c r="U333" s="779">
        <v>0</v>
      </c>
      <c r="V333" s="779">
        <v>0</v>
      </c>
      <c r="W333" s="779">
        <v>0</v>
      </c>
      <c r="X333" s="779">
        <v>0</v>
      </c>
      <c r="Y333" s="779">
        <v>0</v>
      </c>
      <c r="Z333" s="779">
        <v>0</v>
      </c>
      <c r="AA333" s="779">
        <v>0</v>
      </c>
      <c r="AB333" s="779">
        <v>0</v>
      </c>
      <c r="AC333" s="779">
        <v>0</v>
      </c>
    </row>
    <row r="334" spans="2:29" outlineLevel="1">
      <c r="B334" s="775" t="s">
        <v>1055</v>
      </c>
      <c r="C334" s="739"/>
      <c r="D334" s="1084" t="s">
        <v>1059</v>
      </c>
      <c r="E334" s="1084"/>
      <c r="F334" s="1084"/>
      <c r="G334" s="1084"/>
      <c r="H334" s="1084"/>
      <c r="I334" s="1084"/>
      <c r="J334" s="1084"/>
      <c r="K334" s="1084"/>
      <c r="L334" s="1084"/>
      <c r="M334" s="1084"/>
      <c r="N334" s="1084"/>
      <c r="O334" s="1084"/>
      <c r="P334" s="1084"/>
      <c r="Q334" s="1084"/>
      <c r="T334" s="779">
        <v>1</v>
      </c>
      <c r="U334" s="779">
        <v>0</v>
      </c>
      <c r="V334" s="779">
        <v>0</v>
      </c>
      <c r="W334" s="779">
        <v>0</v>
      </c>
      <c r="X334" s="779">
        <v>0</v>
      </c>
      <c r="Y334" s="779">
        <v>0</v>
      </c>
      <c r="Z334" s="779">
        <v>0</v>
      </c>
      <c r="AA334" s="779">
        <v>0</v>
      </c>
      <c r="AB334" s="779">
        <v>0</v>
      </c>
      <c r="AC334" s="779">
        <v>0</v>
      </c>
    </row>
    <row r="335" spans="2:29" outlineLevel="1">
      <c r="B335" s="775" t="s">
        <v>1056</v>
      </c>
      <c r="C335" s="739"/>
      <c r="D335" s="1084" t="s">
        <v>1367</v>
      </c>
      <c r="E335" s="1084"/>
      <c r="F335" s="1084"/>
      <c r="G335" s="1084"/>
      <c r="H335" s="1084"/>
      <c r="I335" s="1084"/>
      <c r="J335" s="1084"/>
      <c r="K335" s="1084"/>
      <c r="L335" s="1084"/>
      <c r="M335" s="1084"/>
      <c r="N335" s="1084"/>
      <c r="O335" s="1084"/>
      <c r="P335" s="1084"/>
      <c r="Q335" s="1084"/>
      <c r="T335" s="779">
        <v>0</v>
      </c>
      <c r="U335" s="779">
        <v>0</v>
      </c>
      <c r="V335" s="779">
        <v>0</v>
      </c>
      <c r="W335" s="779">
        <v>0</v>
      </c>
      <c r="X335" s="779">
        <v>0</v>
      </c>
      <c r="Y335" s="779">
        <v>0</v>
      </c>
      <c r="Z335" s="779">
        <v>0</v>
      </c>
      <c r="AA335" s="779">
        <v>0</v>
      </c>
      <c r="AB335" s="779">
        <v>0</v>
      </c>
      <c r="AC335" s="779">
        <v>0</v>
      </c>
    </row>
    <row r="336" spans="2:29" outlineLevel="1">
      <c r="B336" s="775" t="s">
        <v>1057</v>
      </c>
      <c r="C336" s="739"/>
      <c r="D336" s="1084" t="s">
        <v>1368</v>
      </c>
      <c r="E336" s="1084"/>
      <c r="F336" s="1084"/>
      <c r="G336" s="1084"/>
      <c r="H336" s="1084"/>
      <c r="I336" s="1084"/>
      <c r="J336" s="1084"/>
      <c r="K336" s="1084"/>
      <c r="L336" s="1084"/>
      <c r="M336" s="1084"/>
      <c r="N336" s="1084"/>
      <c r="O336" s="1084"/>
      <c r="P336" s="1084"/>
      <c r="Q336" s="1084"/>
      <c r="T336" s="779">
        <v>1.6</v>
      </c>
      <c r="U336" s="779">
        <v>1.6</v>
      </c>
      <c r="V336" s="779">
        <v>1.6</v>
      </c>
      <c r="W336" s="779">
        <v>1.6</v>
      </c>
      <c r="X336" s="779">
        <v>1.6</v>
      </c>
      <c r="Y336" s="779">
        <v>1.6</v>
      </c>
      <c r="Z336" s="779">
        <v>1.6</v>
      </c>
      <c r="AA336" s="779">
        <v>1.6</v>
      </c>
      <c r="AB336" s="779">
        <v>1.6</v>
      </c>
      <c r="AC336" s="779">
        <v>1.6</v>
      </c>
    </row>
    <row r="337" spans="2:29" outlineLevel="1">
      <c r="B337" s="729" t="s">
        <v>527</v>
      </c>
      <c r="C337" s="1085" t="s">
        <v>479</v>
      </c>
      <c r="D337" s="1085"/>
      <c r="E337" s="1085"/>
      <c r="F337" s="1085"/>
      <c r="G337" s="1085"/>
      <c r="H337" s="1085"/>
      <c r="I337" s="1085"/>
      <c r="J337" s="1085"/>
      <c r="K337" s="1085"/>
      <c r="L337" s="1085"/>
      <c r="M337" s="1085"/>
      <c r="N337" s="1085"/>
      <c r="O337" s="1085"/>
      <c r="P337" s="1085"/>
      <c r="Q337" s="1085"/>
      <c r="T337" s="779">
        <v>0</v>
      </c>
      <c r="U337" s="779">
        <v>0</v>
      </c>
      <c r="V337" s="779">
        <v>0</v>
      </c>
      <c r="W337" s="779">
        <v>0</v>
      </c>
      <c r="X337" s="779">
        <v>0</v>
      </c>
      <c r="Y337" s="779">
        <v>0</v>
      </c>
      <c r="Z337" s="779">
        <v>0</v>
      </c>
      <c r="AA337" s="779">
        <v>0</v>
      </c>
      <c r="AB337" s="779">
        <v>0</v>
      </c>
      <c r="AC337" s="779">
        <v>0</v>
      </c>
    </row>
    <row r="338" spans="2:29">
      <c r="F338" s="117"/>
      <c r="G338" s="117"/>
      <c r="H338" s="117"/>
      <c r="I338" s="117"/>
      <c r="S338" s="537" t="s">
        <v>528</v>
      </c>
      <c r="T338" s="780">
        <f t="shared" ref="T338:AC338" si="12">SUM(T324:T337)</f>
        <v>2.7</v>
      </c>
      <c r="U338" s="780">
        <f t="shared" si="12"/>
        <v>1.7000000000000002</v>
      </c>
      <c r="V338" s="780">
        <f t="shared" si="12"/>
        <v>1.7000000000000002</v>
      </c>
      <c r="W338" s="780">
        <f t="shared" si="12"/>
        <v>1.7000000000000002</v>
      </c>
      <c r="X338" s="780">
        <f t="shared" si="12"/>
        <v>1.7000000000000002</v>
      </c>
      <c r="Y338" s="780">
        <f t="shared" si="12"/>
        <v>1.7000000000000002</v>
      </c>
      <c r="Z338" s="780">
        <f t="shared" si="12"/>
        <v>1.7000000000000002</v>
      </c>
      <c r="AA338" s="780">
        <f t="shared" si="12"/>
        <v>1.7000000000000002</v>
      </c>
      <c r="AB338" s="780">
        <f t="shared" si="12"/>
        <v>1.7000000000000002</v>
      </c>
      <c r="AC338" s="780">
        <f t="shared" si="12"/>
        <v>1.7000000000000002</v>
      </c>
    </row>
    <row r="339" spans="2:29" outlineLevel="1">
      <c r="B339" s="731" t="s">
        <v>397</v>
      </c>
      <c r="C339" s="1088" t="s">
        <v>705</v>
      </c>
      <c r="D339" s="1088"/>
      <c r="E339" s="1088"/>
      <c r="F339" s="1088"/>
      <c r="G339" s="1088"/>
      <c r="H339" s="1088"/>
      <c r="I339" s="1088"/>
      <c r="J339" s="1088"/>
      <c r="K339" s="1088"/>
      <c r="L339" s="1088"/>
      <c r="M339" s="1088"/>
      <c r="N339" s="1088"/>
      <c r="O339" s="1088"/>
      <c r="P339" s="1088"/>
      <c r="Q339" s="1088"/>
      <c r="T339" s="781"/>
      <c r="U339" s="781"/>
      <c r="V339" s="781"/>
      <c r="W339" s="781"/>
      <c r="X339" s="781"/>
      <c r="Y339" s="781"/>
      <c r="Z339" s="781"/>
      <c r="AA339" s="781"/>
      <c r="AB339" s="782"/>
      <c r="AC339" s="781"/>
    </row>
    <row r="340" spans="2:29" outlineLevel="1">
      <c r="B340" s="729" t="s">
        <v>523</v>
      </c>
      <c r="C340" s="1084"/>
      <c r="D340" s="1084"/>
      <c r="E340" s="1084"/>
      <c r="F340" s="1084"/>
      <c r="G340" s="1084"/>
      <c r="H340" s="1084"/>
      <c r="I340" s="1084"/>
      <c r="J340" s="1084"/>
      <c r="K340" s="1084"/>
      <c r="L340" s="1084"/>
      <c r="M340" s="1084"/>
      <c r="N340" s="1084"/>
      <c r="O340" s="1084"/>
      <c r="P340" s="1084"/>
      <c r="Q340" s="1084"/>
      <c r="T340" s="781"/>
      <c r="U340" s="781"/>
      <c r="V340" s="781"/>
      <c r="W340" s="781"/>
      <c r="X340" s="781"/>
      <c r="Y340" s="781"/>
      <c r="Z340" s="781"/>
      <c r="AA340" s="781"/>
      <c r="AB340" s="782"/>
      <c r="AC340" s="781"/>
    </row>
    <row r="341" spans="2:29" outlineLevel="1">
      <c r="B341" s="729" t="s">
        <v>524</v>
      </c>
      <c r="C341" s="1084"/>
      <c r="D341" s="1084"/>
      <c r="E341" s="1084"/>
      <c r="F341" s="1084"/>
      <c r="G341" s="1084"/>
      <c r="H341" s="1084"/>
      <c r="I341" s="1084"/>
      <c r="J341" s="1084"/>
      <c r="K341" s="1084"/>
      <c r="L341" s="1084"/>
      <c r="M341" s="1084"/>
      <c r="N341" s="1084"/>
      <c r="O341" s="1084"/>
      <c r="P341" s="1084"/>
      <c r="Q341" s="1084"/>
      <c r="T341" s="781"/>
      <c r="U341" s="781"/>
      <c r="V341" s="781"/>
      <c r="W341" s="781"/>
      <c r="X341" s="781"/>
      <c r="Y341" s="781"/>
      <c r="Z341" s="781"/>
      <c r="AA341" s="781"/>
      <c r="AB341" s="782"/>
      <c r="AC341" s="781"/>
    </row>
    <row r="342" spans="2:29" outlineLevel="1">
      <c r="B342" s="729" t="s">
        <v>525</v>
      </c>
      <c r="C342" s="1084"/>
      <c r="D342" s="1084"/>
      <c r="E342" s="1084"/>
      <c r="F342" s="1084"/>
      <c r="G342" s="1084"/>
      <c r="H342" s="1084"/>
      <c r="I342" s="1084"/>
      <c r="J342" s="1084"/>
      <c r="K342" s="1084"/>
      <c r="L342" s="1084"/>
      <c r="M342" s="1084"/>
      <c r="N342" s="1084"/>
      <c r="O342" s="1084"/>
      <c r="P342" s="1084"/>
      <c r="Q342" s="1084"/>
      <c r="T342" s="781"/>
      <c r="U342" s="781"/>
      <c r="V342" s="781"/>
      <c r="W342" s="781"/>
      <c r="X342" s="781"/>
      <c r="Y342" s="781"/>
      <c r="Z342" s="781"/>
      <c r="AA342" s="781"/>
      <c r="AB342" s="782"/>
      <c r="AC342" s="781"/>
    </row>
    <row r="343" spans="2:29" outlineLevel="1">
      <c r="B343" s="729" t="s">
        <v>526</v>
      </c>
      <c r="C343" s="1084"/>
      <c r="D343" s="1084"/>
      <c r="E343" s="1084"/>
      <c r="F343" s="1084"/>
      <c r="G343" s="1084"/>
      <c r="H343" s="1084"/>
      <c r="I343" s="1084"/>
      <c r="J343" s="1084"/>
      <c r="K343" s="1084"/>
      <c r="L343" s="1084"/>
      <c r="M343" s="1084"/>
      <c r="N343" s="1084"/>
      <c r="O343" s="1084"/>
      <c r="P343" s="1084"/>
      <c r="Q343" s="1084"/>
      <c r="T343" s="781"/>
      <c r="U343" s="781"/>
      <c r="V343" s="781"/>
      <c r="W343" s="781"/>
      <c r="X343" s="781"/>
      <c r="Y343" s="781"/>
      <c r="Z343" s="781"/>
      <c r="AA343" s="781"/>
      <c r="AB343" s="782"/>
      <c r="AC343" s="781"/>
    </row>
    <row r="344" spans="2:29" outlineLevel="1">
      <c r="B344" s="729" t="s">
        <v>527</v>
      </c>
      <c r="C344" s="1085" t="s">
        <v>479</v>
      </c>
      <c r="D344" s="1085"/>
      <c r="E344" s="1085"/>
      <c r="F344" s="1085"/>
      <c r="G344" s="1085"/>
      <c r="H344" s="1085"/>
      <c r="I344" s="1085"/>
      <c r="J344" s="1085"/>
      <c r="K344" s="1085"/>
      <c r="L344" s="1085"/>
      <c r="M344" s="1085"/>
      <c r="N344" s="1085"/>
      <c r="O344" s="1085"/>
      <c r="P344" s="1085"/>
      <c r="Q344" s="1085"/>
      <c r="T344" s="781"/>
      <c r="U344" s="781"/>
      <c r="V344" s="781"/>
      <c r="W344" s="781"/>
      <c r="X344" s="781"/>
      <c r="Y344" s="781"/>
      <c r="Z344" s="781"/>
      <c r="AA344" s="781"/>
      <c r="AB344" s="782"/>
      <c r="AC344" s="781"/>
    </row>
    <row r="345" spans="2:29">
      <c r="T345" s="781"/>
      <c r="U345" s="781"/>
      <c r="V345" s="781"/>
      <c r="W345" s="781"/>
      <c r="X345" s="781"/>
      <c r="Y345" s="781"/>
      <c r="Z345" s="781"/>
      <c r="AA345" s="781"/>
      <c r="AB345" s="782"/>
      <c r="AC345" s="781"/>
    </row>
    <row r="346" spans="2:29">
      <c r="T346" s="781"/>
      <c r="U346" s="781"/>
      <c r="V346" s="781"/>
      <c r="W346" s="781"/>
      <c r="X346" s="781"/>
      <c r="Y346" s="781"/>
      <c r="Z346" s="781"/>
      <c r="AA346" s="781"/>
      <c r="AB346" s="782"/>
      <c r="AC346" s="781"/>
    </row>
    <row r="347" spans="2:29">
      <c r="B347" s="201" t="s">
        <v>529</v>
      </c>
      <c r="C347" s="201"/>
      <c r="D347" s="118" t="s">
        <v>623</v>
      </c>
      <c r="E347" s="98"/>
      <c r="T347" s="781"/>
      <c r="U347" s="781"/>
      <c r="V347" s="781"/>
      <c r="W347" s="781"/>
      <c r="X347" s="781"/>
      <c r="Y347" s="781"/>
      <c r="Z347" s="781"/>
      <c r="AA347" s="781"/>
      <c r="AB347" s="782"/>
      <c r="AC347" s="781"/>
    </row>
    <row r="348" spans="2:29" ht="27" outlineLevel="1">
      <c r="B348" s="731" t="s">
        <v>397</v>
      </c>
      <c r="C348" s="723" t="s">
        <v>678</v>
      </c>
      <c r="D348" s="1092" t="s">
        <v>445</v>
      </c>
      <c r="E348" s="1092"/>
      <c r="F348" s="1092"/>
      <c r="G348" s="1092"/>
      <c r="H348" s="1092"/>
      <c r="I348" s="1092"/>
      <c r="J348" s="1092"/>
      <c r="K348" s="1092"/>
      <c r="L348" s="1092"/>
      <c r="M348" s="1092"/>
      <c r="N348" s="1092"/>
      <c r="O348" s="1092"/>
      <c r="P348" s="1092"/>
      <c r="Q348" s="1092"/>
      <c r="T348" s="785" t="s">
        <v>398</v>
      </c>
      <c r="U348" s="785" t="s">
        <v>398</v>
      </c>
      <c r="V348" s="785" t="s">
        <v>398</v>
      </c>
      <c r="W348" s="785" t="s">
        <v>398</v>
      </c>
      <c r="X348" s="785" t="s">
        <v>398</v>
      </c>
      <c r="Y348" s="785" t="s">
        <v>398</v>
      </c>
      <c r="Z348" s="785" t="s">
        <v>398</v>
      </c>
      <c r="AA348" s="785" t="s">
        <v>398</v>
      </c>
      <c r="AB348" s="785" t="s">
        <v>398</v>
      </c>
      <c r="AC348" s="785" t="s">
        <v>398</v>
      </c>
    </row>
    <row r="349" spans="2:29" outlineLevel="1">
      <c r="B349" s="729" t="s">
        <v>531</v>
      </c>
      <c r="C349" s="739"/>
      <c r="D349" s="1087"/>
      <c r="E349" s="1087"/>
      <c r="F349" s="1087"/>
      <c r="G349" s="1087"/>
      <c r="H349" s="1087"/>
      <c r="I349" s="1087"/>
      <c r="J349" s="1087"/>
      <c r="K349" s="1087"/>
      <c r="L349" s="1087"/>
      <c r="M349" s="1087"/>
      <c r="N349" s="1087"/>
      <c r="O349" s="1087"/>
      <c r="P349" s="1087"/>
      <c r="Q349" s="1087"/>
      <c r="T349" s="779">
        <v>0</v>
      </c>
      <c r="U349" s="779">
        <v>0</v>
      </c>
      <c r="V349" s="779">
        <v>0</v>
      </c>
      <c r="W349" s="779">
        <v>0</v>
      </c>
      <c r="X349" s="779">
        <v>0</v>
      </c>
      <c r="Y349" s="779">
        <v>0</v>
      </c>
      <c r="Z349" s="779">
        <v>0</v>
      </c>
      <c r="AA349" s="779">
        <v>0</v>
      </c>
      <c r="AB349" s="779">
        <v>0</v>
      </c>
      <c r="AC349" s="779">
        <v>0</v>
      </c>
    </row>
    <row r="350" spans="2:29" outlineLevel="1">
      <c r="B350" s="729" t="s">
        <v>532</v>
      </c>
      <c r="C350" s="739"/>
      <c r="D350" s="1087"/>
      <c r="E350" s="1087"/>
      <c r="F350" s="1087"/>
      <c r="G350" s="1087"/>
      <c r="H350" s="1087"/>
      <c r="I350" s="1087"/>
      <c r="J350" s="1087"/>
      <c r="K350" s="1087"/>
      <c r="L350" s="1087"/>
      <c r="M350" s="1087"/>
      <c r="N350" s="1087"/>
      <c r="O350" s="1087"/>
      <c r="P350" s="1087"/>
      <c r="Q350" s="1087"/>
      <c r="T350" s="779">
        <v>0</v>
      </c>
      <c r="U350" s="779">
        <v>0</v>
      </c>
      <c r="V350" s="779">
        <v>0</v>
      </c>
      <c r="W350" s="779">
        <v>0</v>
      </c>
      <c r="X350" s="779">
        <v>0</v>
      </c>
      <c r="Y350" s="779">
        <v>0</v>
      </c>
      <c r="Z350" s="779">
        <v>0</v>
      </c>
      <c r="AA350" s="779">
        <v>0</v>
      </c>
      <c r="AB350" s="779">
        <v>0</v>
      </c>
      <c r="AC350" s="779">
        <v>0</v>
      </c>
    </row>
    <row r="351" spans="2:29" outlineLevel="1">
      <c r="B351" s="729" t="s">
        <v>533</v>
      </c>
      <c r="C351" s="739"/>
      <c r="D351" s="1087"/>
      <c r="E351" s="1087"/>
      <c r="F351" s="1087"/>
      <c r="G351" s="1087"/>
      <c r="H351" s="1087"/>
      <c r="I351" s="1087"/>
      <c r="J351" s="1087"/>
      <c r="K351" s="1087"/>
      <c r="L351" s="1087"/>
      <c r="M351" s="1087"/>
      <c r="N351" s="1087"/>
      <c r="O351" s="1087"/>
      <c r="P351" s="1087"/>
      <c r="Q351" s="1087"/>
      <c r="T351" s="779">
        <v>0</v>
      </c>
      <c r="U351" s="779">
        <v>0</v>
      </c>
      <c r="V351" s="779">
        <v>0</v>
      </c>
      <c r="W351" s="779">
        <v>0</v>
      </c>
      <c r="X351" s="779">
        <v>0</v>
      </c>
      <c r="Y351" s="779">
        <v>0</v>
      </c>
      <c r="Z351" s="779">
        <v>0</v>
      </c>
      <c r="AA351" s="779">
        <v>0</v>
      </c>
      <c r="AB351" s="779">
        <v>0</v>
      </c>
      <c r="AC351" s="779">
        <v>0</v>
      </c>
    </row>
    <row r="352" spans="2:29" outlineLevel="1">
      <c r="B352" s="729" t="s">
        <v>534</v>
      </c>
      <c r="C352" s="739"/>
      <c r="D352" s="1087"/>
      <c r="E352" s="1087"/>
      <c r="F352" s="1087"/>
      <c r="G352" s="1087"/>
      <c r="H352" s="1087"/>
      <c r="I352" s="1087"/>
      <c r="J352" s="1087"/>
      <c r="K352" s="1087"/>
      <c r="L352" s="1087"/>
      <c r="M352" s="1087"/>
      <c r="N352" s="1087"/>
      <c r="O352" s="1087"/>
      <c r="P352" s="1087"/>
      <c r="Q352" s="1087"/>
      <c r="T352" s="779">
        <v>0</v>
      </c>
      <c r="U352" s="779">
        <v>0</v>
      </c>
      <c r="V352" s="779">
        <v>0</v>
      </c>
      <c r="W352" s="779">
        <v>0</v>
      </c>
      <c r="X352" s="779">
        <v>0</v>
      </c>
      <c r="Y352" s="779">
        <v>0</v>
      </c>
      <c r="Z352" s="779">
        <v>0</v>
      </c>
      <c r="AA352" s="779">
        <v>0</v>
      </c>
      <c r="AB352" s="779">
        <v>0</v>
      </c>
      <c r="AC352" s="779">
        <v>0</v>
      </c>
    </row>
    <row r="353" spans="2:29" outlineLevel="1">
      <c r="B353" s="729" t="s">
        <v>535</v>
      </c>
      <c r="C353" s="1085" t="s">
        <v>479</v>
      </c>
      <c r="D353" s="1085"/>
      <c r="E353" s="1085"/>
      <c r="F353" s="1085"/>
      <c r="G353" s="1085"/>
      <c r="H353" s="1085"/>
      <c r="I353" s="1085"/>
      <c r="J353" s="1085"/>
      <c r="K353" s="1085"/>
      <c r="L353" s="1085"/>
      <c r="M353" s="1085"/>
      <c r="N353" s="1085"/>
      <c r="O353" s="1085"/>
      <c r="P353" s="1085"/>
      <c r="Q353" s="1085"/>
      <c r="T353" s="779">
        <v>0</v>
      </c>
      <c r="U353" s="779">
        <v>0</v>
      </c>
      <c r="V353" s="779">
        <v>0</v>
      </c>
      <c r="W353" s="779">
        <v>0</v>
      </c>
      <c r="X353" s="779">
        <v>0</v>
      </c>
      <c r="Y353" s="779">
        <v>0</v>
      </c>
      <c r="Z353" s="779">
        <v>0</v>
      </c>
      <c r="AA353" s="779">
        <v>0</v>
      </c>
      <c r="AB353" s="779">
        <v>0</v>
      </c>
      <c r="AC353" s="779">
        <v>0</v>
      </c>
    </row>
    <row r="354" spans="2:29">
      <c r="C354" s="1094"/>
      <c r="D354" s="1095"/>
      <c r="E354" s="1095"/>
      <c r="F354" s="1095"/>
      <c r="G354" s="1095"/>
      <c r="H354" s="1095"/>
      <c r="I354" s="1095"/>
      <c r="J354" s="1095"/>
      <c r="K354" s="1095"/>
      <c r="L354" s="1095"/>
      <c r="M354" s="1095"/>
      <c r="N354" s="1095"/>
      <c r="O354" s="1095"/>
      <c r="P354" s="1095"/>
      <c r="Q354" s="1096"/>
      <c r="R354" s="99" t="s">
        <v>710</v>
      </c>
      <c r="S354" s="537" t="s">
        <v>536</v>
      </c>
      <c r="T354" s="780">
        <f t="shared" ref="T354:AC354" si="13">SUM(T349:T353)</f>
        <v>0</v>
      </c>
      <c r="U354" s="780">
        <f t="shared" si="13"/>
        <v>0</v>
      </c>
      <c r="V354" s="780">
        <f t="shared" si="13"/>
        <v>0</v>
      </c>
      <c r="W354" s="780">
        <f t="shared" si="13"/>
        <v>0</v>
      </c>
      <c r="X354" s="780">
        <f t="shared" si="13"/>
        <v>0</v>
      </c>
      <c r="Y354" s="780">
        <f t="shared" si="13"/>
        <v>0</v>
      </c>
      <c r="Z354" s="780">
        <f t="shared" si="13"/>
        <v>0</v>
      </c>
      <c r="AA354" s="780">
        <f t="shared" si="13"/>
        <v>0</v>
      </c>
      <c r="AB354" s="780">
        <f t="shared" si="13"/>
        <v>0</v>
      </c>
      <c r="AC354" s="780">
        <f t="shared" si="13"/>
        <v>0</v>
      </c>
    </row>
    <row r="355" spans="2:29" outlineLevel="1">
      <c r="B355" s="731" t="s">
        <v>397</v>
      </c>
      <c r="C355" s="1088" t="s">
        <v>705</v>
      </c>
      <c r="D355" s="1088"/>
      <c r="E355" s="1088"/>
      <c r="F355" s="1088"/>
      <c r="G355" s="1088"/>
      <c r="H355" s="1088"/>
      <c r="I355" s="1088"/>
      <c r="J355" s="1088"/>
      <c r="K355" s="1088"/>
      <c r="L355" s="1088"/>
      <c r="M355" s="1088"/>
      <c r="N355" s="1088"/>
      <c r="O355" s="1088"/>
      <c r="P355" s="1088"/>
      <c r="Q355" s="1088"/>
      <c r="T355" s="781"/>
      <c r="U355" s="781"/>
      <c r="V355" s="781"/>
      <c r="W355" s="781"/>
      <c r="X355" s="781"/>
      <c r="Y355" s="781"/>
      <c r="Z355" s="781"/>
      <c r="AA355" s="781"/>
      <c r="AB355" s="782"/>
      <c r="AC355" s="781"/>
    </row>
    <row r="356" spans="2:29" outlineLevel="1">
      <c r="B356" s="729" t="s">
        <v>531</v>
      </c>
      <c r="C356" s="1084"/>
      <c r="D356" s="1084"/>
      <c r="E356" s="1084"/>
      <c r="F356" s="1084"/>
      <c r="G356" s="1084"/>
      <c r="H356" s="1084"/>
      <c r="I356" s="1084"/>
      <c r="J356" s="1084"/>
      <c r="K356" s="1084"/>
      <c r="L356" s="1084"/>
      <c r="M356" s="1084"/>
      <c r="N356" s="1084"/>
      <c r="O356" s="1084"/>
      <c r="P356" s="1084"/>
      <c r="Q356" s="1084"/>
      <c r="T356" s="781"/>
      <c r="U356" s="781"/>
      <c r="V356" s="781"/>
      <c r="W356" s="781"/>
      <c r="X356" s="781"/>
      <c r="Y356" s="781"/>
      <c r="Z356" s="781"/>
      <c r="AA356" s="781"/>
      <c r="AB356" s="782"/>
      <c r="AC356" s="781"/>
    </row>
    <row r="357" spans="2:29" outlineLevel="1">
      <c r="B357" s="729" t="s">
        <v>532</v>
      </c>
      <c r="C357" s="1084"/>
      <c r="D357" s="1084"/>
      <c r="E357" s="1084"/>
      <c r="F357" s="1084"/>
      <c r="G357" s="1084"/>
      <c r="H357" s="1084"/>
      <c r="I357" s="1084"/>
      <c r="J357" s="1084"/>
      <c r="K357" s="1084"/>
      <c r="L357" s="1084"/>
      <c r="M357" s="1084"/>
      <c r="N357" s="1084"/>
      <c r="O357" s="1084"/>
      <c r="P357" s="1084"/>
      <c r="Q357" s="1084"/>
      <c r="T357" s="781"/>
      <c r="U357" s="781"/>
      <c r="V357" s="781"/>
      <c r="W357" s="781"/>
      <c r="X357" s="781"/>
      <c r="Y357" s="781"/>
      <c r="Z357" s="781"/>
      <c r="AA357" s="781"/>
      <c r="AB357" s="782"/>
      <c r="AC357" s="781"/>
    </row>
    <row r="358" spans="2:29" outlineLevel="1">
      <c r="B358" s="729" t="s">
        <v>533</v>
      </c>
      <c r="C358" s="1084"/>
      <c r="D358" s="1084"/>
      <c r="E358" s="1084"/>
      <c r="F358" s="1084"/>
      <c r="G358" s="1084"/>
      <c r="H358" s="1084"/>
      <c r="I358" s="1084"/>
      <c r="J358" s="1084"/>
      <c r="K358" s="1084"/>
      <c r="L358" s="1084"/>
      <c r="M358" s="1084"/>
      <c r="N358" s="1084"/>
      <c r="O358" s="1084"/>
      <c r="P358" s="1084"/>
      <c r="Q358" s="1084"/>
      <c r="T358" s="781"/>
      <c r="U358" s="781"/>
      <c r="V358" s="781"/>
      <c r="W358" s="781"/>
      <c r="X358" s="781"/>
      <c r="Y358" s="781"/>
      <c r="Z358" s="781"/>
      <c r="AA358" s="781"/>
      <c r="AB358" s="782"/>
      <c r="AC358" s="781"/>
    </row>
    <row r="359" spans="2:29" outlineLevel="1">
      <c r="B359" s="729" t="s">
        <v>534</v>
      </c>
      <c r="C359" s="1084"/>
      <c r="D359" s="1084"/>
      <c r="E359" s="1084"/>
      <c r="F359" s="1084"/>
      <c r="G359" s="1084"/>
      <c r="H359" s="1084"/>
      <c r="I359" s="1084"/>
      <c r="J359" s="1084"/>
      <c r="K359" s="1084"/>
      <c r="L359" s="1084"/>
      <c r="M359" s="1084"/>
      <c r="N359" s="1084"/>
      <c r="O359" s="1084"/>
      <c r="P359" s="1084"/>
      <c r="Q359" s="1084"/>
      <c r="T359" s="781"/>
      <c r="U359" s="781"/>
      <c r="V359" s="781"/>
      <c r="W359" s="781"/>
      <c r="X359" s="781"/>
      <c r="Y359" s="781"/>
      <c r="Z359" s="781"/>
      <c r="AA359" s="781"/>
      <c r="AB359" s="782"/>
      <c r="AC359" s="781"/>
    </row>
    <row r="360" spans="2:29" outlineLevel="1">
      <c r="B360" s="729" t="s">
        <v>535</v>
      </c>
      <c r="C360" s="1085" t="s">
        <v>479</v>
      </c>
      <c r="D360" s="1085"/>
      <c r="E360" s="1085"/>
      <c r="F360" s="1085"/>
      <c r="G360" s="1085"/>
      <c r="H360" s="1085"/>
      <c r="I360" s="1085"/>
      <c r="J360" s="1085"/>
      <c r="K360" s="1085"/>
      <c r="L360" s="1085"/>
      <c r="M360" s="1085"/>
      <c r="N360" s="1085"/>
      <c r="O360" s="1085"/>
      <c r="P360" s="1085"/>
      <c r="Q360" s="1085"/>
      <c r="T360" s="781"/>
      <c r="U360" s="781"/>
      <c r="V360" s="781"/>
      <c r="W360" s="781"/>
      <c r="X360" s="781"/>
      <c r="Y360" s="781"/>
      <c r="Z360" s="781"/>
      <c r="AA360" s="781"/>
      <c r="AB360" s="782"/>
      <c r="AC360" s="781"/>
    </row>
    <row r="361" spans="2:29">
      <c r="T361" s="781"/>
      <c r="U361" s="781"/>
      <c r="V361" s="781"/>
      <c r="W361" s="781"/>
      <c r="X361" s="781"/>
      <c r="Y361" s="781"/>
      <c r="Z361" s="781"/>
      <c r="AA361" s="781"/>
      <c r="AB361" s="782"/>
      <c r="AC361" s="781"/>
    </row>
    <row r="362" spans="2:29">
      <c r="F362" s="117"/>
      <c r="G362" s="117"/>
      <c r="H362" s="117"/>
      <c r="I362" s="117"/>
      <c r="T362" s="781"/>
      <c r="U362" s="781"/>
      <c r="V362" s="781"/>
      <c r="W362" s="781"/>
      <c r="X362" s="781"/>
      <c r="Y362" s="781"/>
      <c r="Z362" s="781"/>
      <c r="AA362" s="781"/>
      <c r="AB362" s="782"/>
      <c r="AC362" s="781"/>
    </row>
    <row r="363" spans="2:29">
      <c r="S363" s="120" t="s">
        <v>711</v>
      </c>
      <c r="T363" s="780">
        <f t="shared" ref="T363:AC363" si="14">T22 + T82 + T97 + T112 + T127 + T143 + T168 + T226 + T278 + T295 +T313 + T338 + T354</f>
        <v>3659.7999999999993</v>
      </c>
      <c r="U363" s="780">
        <f t="shared" si="14"/>
        <v>3517.4929565705293</v>
      </c>
      <c r="V363" s="780">
        <f t="shared" si="14"/>
        <v>3627.2295319702207</v>
      </c>
      <c r="W363" s="780">
        <f t="shared" si="14"/>
        <v>3599.3345032260308</v>
      </c>
      <c r="X363" s="780">
        <f t="shared" si="14"/>
        <v>3649.5556264534989</v>
      </c>
      <c r="Y363" s="780">
        <f t="shared" si="14"/>
        <v>3730.3912588164039</v>
      </c>
      <c r="Z363" s="780">
        <f t="shared" si="14"/>
        <v>3784.9434342435966</v>
      </c>
      <c r="AA363" s="780">
        <f t="shared" si="14"/>
        <v>3761.0543796087045</v>
      </c>
      <c r="AB363" s="780">
        <f t="shared" si="14"/>
        <v>3791.3955939788661</v>
      </c>
      <c r="AC363" s="780">
        <f t="shared" si="14"/>
        <v>3596.2300585546309</v>
      </c>
    </row>
    <row r="364" spans="2:29">
      <c r="T364" s="781"/>
      <c r="U364" s="781"/>
      <c r="V364" s="781"/>
      <c r="W364" s="781"/>
      <c r="X364" s="781"/>
      <c r="Y364" s="781"/>
      <c r="Z364" s="781"/>
      <c r="AA364" s="781"/>
      <c r="AB364" s="782"/>
      <c r="AC364" s="781"/>
    </row>
    <row r="365" spans="2:29" ht="16">
      <c r="B365" s="199" t="s">
        <v>712</v>
      </c>
      <c r="C365" s="199"/>
      <c r="D365" s="94"/>
      <c r="E365" s="94"/>
      <c r="F365" s="94"/>
      <c r="G365" s="94"/>
      <c r="H365" s="94"/>
      <c r="I365" s="94"/>
      <c r="J365" s="94"/>
      <c r="K365" s="94"/>
      <c r="L365" s="94"/>
      <c r="M365" s="94"/>
      <c r="N365" s="94"/>
      <c r="O365" s="94"/>
      <c r="P365" s="94"/>
      <c r="Q365" s="94"/>
      <c r="T365" s="781"/>
      <c r="U365" s="781"/>
      <c r="V365" s="781"/>
      <c r="W365" s="781"/>
      <c r="X365" s="781"/>
      <c r="Y365" s="781"/>
      <c r="Z365" s="781"/>
      <c r="AA365" s="781"/>
      <c r="AB365" s="782"/>
      <c r="AC365" s="781"/>
    </row>
    <row r="366" spans="2:29">
      <c r="T366" s="781"/>
      <c r="U366" s="781"/>
      <c r="V366" s="781"/>
      <c r="W366" s="781"/>
      <c r="X366" s="781"/>
      <c r="Y366" s="781"/>
      <c r="Z366" s="781"/>
      <c r="AA366" s="781"/>
      <c r="AB366" s="782"/>
      <c r="AC366" s="781"/>
    </row>
    <row r="367" spans="2:29">
      <c r="D367" s="108" t="s">
        <v>713</v>
      </c>
      <c r="E367" s="108"/>
      <c r="F367" s="110"/>
      <c r="G367" s="110"/>
      <c r="H367" s="110"/>
      <c r="I367" s="110"/>
      <c r="J367" s="110"/>
      <c r="K367" s="110"/>
      <c r="L367" s="110"/>
      <c r="M367" s="110"/>
      <c r="N367" s="110"/>
      <c r="O367" s="110"/>
      <c r="P367" s="110"/>
      <c r="Q367" s="110"/>
      <c r="R367" s="110"/>
      <c r="T367" s="795"/>
      <c r="U367" s="781"/>
      <c r="V367" s="781"/>
      <c r="W367" s="781"/>
      <c r="X367" s="781"/>
      <c r="Y367" s="781"/>
      <c r="Z367" s="781"/>
      <c r="AA367" s="781"/>
      <c r="AB367" s="782"/>
      <c r="AC367" s="781"/>
    </row>
    <row r="368" spans="2:29">
      <c r="B368" s="201" t="s">
        <v>643</v>
      </c>
      <c r="C368" s="201"/>
      <c r="D368" s="1091"/>
      <c r="E368" s="1091"/>
      <c r="F368" s="1091"/>
      <c r="G368" s="1091"/>
      <c r="H368" s="1091"/>
      <c r="I368" s="1091"/>
      <c r="J368" s="1091"/>
      <c r="K368" s="1091"/>
      <c r="L368" s="1091"/>
      <c r="M368" s="1091"/>
      <c r="N368" s="1091"/>
      <c r="O368" s="1091"/>
      <c r="P368" s="1091"/>
      <c r="Q368" s="1091"/>
      <c r="R368" s="110"/>
      <c r="T368" s="795"/>
      <c r="U368" s="781"/>
      <c r="V368" s="781"/>
      <c r="W368" s="781"/>
      <c r="X368" s="781"/>
      <c r="Y368" s="781"/>
      <c r="Z368" s="781"/>
      <c r="AA368" s="781"/>
      <c r="AB368" s="782"/>
      <c r="AC368" s="781"/>
    </row>
    <row r="369" spans="2:29">
      <c r="B369" s="201" t="s">
        <v>393</v>
      </c>
      <c r="C369" s="201"/>
      <c r="D369" s="1091"/>
      <c r="E369" s="1091"/>
      <c r="F369" s="1091"/>
      <c r="G369" s="1091"/>
      <c r="H369" s="1091"/>
      <c r="I369" s="1091"/>
      <c r="J369" s="1091"/>
      <c r="K369" s="1091"/>
      <c r="L369" s="1091"/>
      <c r="M369" s="1091"/>
      <c r="N369" s="1091"/>
      <c r="O369" s="1091"/>
      <c r="P369" s="1091"/>
      <c r="Q369" s="1091"/>
      <c r="R369" s="110"/>
      <c r="T369" s="795"/>
      <c r="U369" s="781"/>
      <c r="V369" s="781"/>
      <c r="W369" s="781"/>
      <c r="X369" s="781"/>
      <c r="Y369" s="781"/>
      <c r="Z369" s="781"/>
      <c r="AA369" s="781"/>
      <c r="AB369" s="782"/>
      <c r="AC369" s="781"/>
    </row>
    <row r="370" spans="2:29">
      <c r="B370" s="201" t="s">
        <v>421</v>
      </c>
      <c r="C370" s="201"/>
      <c r="D370" s="1091"/>
      <c r="E370" s="1091"/>
      <c r="F370" s="1091"/>
      <c r="G370" s="1091"/>
      <c r="H370" s="1091"/>
      <c r="I370" s="1091"/>
      <c r="J370" s="1091"/>
      <c r="K370" s="1091"/>
      <c r="L370" s="1091"/>
      <c r="M370" s="1091"/>
      <c r="N370" s="1091"/>
      <c r="O370" s="1091"/>
      <c r="P370" s="1091"/>
      <c r="Q370" s="1091"/>
      <c r="R370" s="110"/>
      <c r="T370" s="795"/>
      <c r="U370" s="781"/>
      <c r="V370" s="781"/>
      <c r="W370" s="781"/>
      <c r="X370" s="781"/>
      <c r="Y370" s="781"/>
      <c r="Z370" s="781"/>
      <c r="AA370" s="781"/>
      <c r="AB370" s="782"/>
      <c r="AC370" s="781"/>
    </row>
    <row r="371" spans="2:29">
      <c r="B371" s="201" t="s">
        <v>432</v>
      </c>
      <c r="C371" s="201"/>
      <c r="D371" s="1091"/>
      <c r="E371" s="1091"/>
      <c r="F371" s="1091"/>
      <c r="G371" s="1091"/>
      <c r="H371" s="1091"/>
      <c r="I371" s="1091"/>
      <c r="J371" s="1091"/>
      <c r="K371" s="1091"/>
      <c r="L371" s="1091"/>
      <c r="M371" s="1091"/>
      <c r="N371" s="1091"/>
      <c r="O371" s="1091"/>
      <c r="P371" s="1091"/>
      <c r="Q371" s="1091"/>
      <c r="R371" s="110"/>
      <c r="T371" s="795"/>
      <c r="U371" s="781"/>
      <c r="V371" s="781"/>
      <c r="W371" s="781"/>
      <c r="X371" s="781"/>
      <c r="Y371" s="781"/>
      <c r="Z371" s="781"/>
      <c r="AA371" s="781"/>
      <c r="AB371" s="782"/>
      <c r="AC371" s="781"/>
    </row>
    <row r="372" spans="2:29">
      <c r="B372" s="201" t="s">
        <v>443</v>
      </c>
      <c r="C372" s="201"/>
      <c r="D372" s="1091"/>
      <c r="E372" s="1091"/>
      <c r="F372" s="1091"/>
      <c r="G372" s="1091"/>
      <c r="H372" s="1091"/>
      <c r="I372" s="1091"/>
      <c r="J372" s="1091"/>
      <c r="K372" s="1091"/>
      <c r="L372" s="1091"/>
      <c r="M372" s="1091"/>
      <c r="N372" s="1091"/>
      <c r="O372" s="1091"/>
      <c r="P372" s="1091"/>
      <c r="Q372" s="1091"/>
      <c r="R372" s="110"/>
      <c r="T372" s="795"/>
      <c r="U372" s="781"/>
      <c r="V372" s="781"/>
      <c r="W372" s="781"/>
      <c r="X372" s="781"/>
      <c r="Y372" s="781"/>
      <c r="Z372" s="781"/>
      <c r="AA372" s="781"/>
      <c r="AB372" s="782"/>
      <c r="AC372" s="781"/>
    </row>
    <row r="373" spans="2:29">
      <c r="B373" s="201" t="s">
        <v>456</v>
      </c>
      <c r="C373" s="201"/>
      <c r="D373" s="1091"/>
      <c r="E373" s="1091"/>
      <c r="F373" s="1091"/>
      <c r="G373" s="1091"/>
      <c r="H373" s="1091"/>
      <c r="I373" s="1091"/>
      <c r="J373" s="1091"/>
      <c r="K373" s="1091"/>
      <c r="L373" s="1091"/>
      <c r="M373" s="1091"/>
      <c r="N373" s="1091"/>
      <c r="O373" s="1091"/>
      <c r="P373" s="1091"/>
      <c r="Q373" s="1091"/>
      <c r="R373" s="110"/>
      <c r="T373" s="795"/>
      <c r="U373" s="781"/>
      <c r="V373" s="781"/>
      <c r="W373" s="781"/>
      <c r="X373" s="781"/>
      <c r="Y373" s="781"/>
      <c r="Z373" s="781"/>
      <c r="AA373" s="781"/>
      <c r="AB373" s="782"/>
      <c r="AC373" s="781"/>
    </row>
    <row r="374" spans="2:29">
      <c r="B374" s="201" t="s">
        <v>467</v>
      </c>
      <c r="C374" s="201"/>
      <c r="D374" s="1091"/>
      <c r="E374" s="1091"/>
      <c r="F374" s="1091"/>
      <c r="G374" s="1091"/>
      <c r="H374" s="1091"/>
      <c r="I374" s="1091"/>
      <c r="J374" s="1091"/>
      <c r="K374" s="1091"/>
      <c r="L374" s="1091"/>
      <c r="M374" s="1091"/>
      <c r="N374" s="1091"/>
      <c r="O374" s="1091"/>
      <c r="P374" s="1091"/>
      <c r="Q374" s="1091"/>
      <c r="R374" s="110"/>
      <c r="T374" s="795"/>
      <c r="U374" s="781"/>
      <c r="V374" s="781"/>
      <c r="W374" s="781"/>
      <c r="X374" s="781"/>
      <c r="Y374" s="781"/>
      <c r="Z374" s="781"/>
      <c r="AA374" s="781"/>
      <c r="AB374" s="782"/>
      <c r="AC374" s="781"/>
    </row>
    <row r="375" spans="2:29">
      <c r="B375" s="201" t="s">
        <v>481</v>
      </c>
      <c r="C375" s="201"/>
      <c r="D375" s="1091"/>
      <c r="E375" s="1091"/>
      <c r="F375" s="1091"/>
      <c r="G375" s="1091"/>
      <c r="H375" s="1091"/>
      <c r="I375" s="1091"/>
      <c r="J375" s="1091"/>
      <c r="K375" s="1091"/>
      <c r="L375" s="1091"/>
      <c r="M375" s="1091"/>
      <c r="N375" s="1091"/>
      <c r="O375" s="1091"/>
      <c r="P375" s="1091"/>
      <c r="Q375" s="1091"/>
      <c r="R375" s="110"/>
      <c r="T375" s="795"/>
      <c r="U375" s="781"/>
      <c r="V375" s="781"/>
      <c r="W375" s="781"/>
      <c r="X375" s="781"/>
      <c r="Y375" s="781"/>
      <c r="Z375" s="781"/>
      <c r="AA375" s="781"/>
      <c r="AB375" s="782"/>
      <c r="AC375" s="781"/>
    </row>
    <row r="376" spans="2:29">
      <c r="B376" s="201" t="s">
        <v>498</v>
      </c>
      <c r="C376" s="201"/>
      <c r="D376" s="1091"/>
      <c r="E376" s="1091"/>
      <c r="F376" s="1091"/>
      <c r="G376" s="1091"/>
      <c r="H376" s="1091"/>
      <c r="I376" s="1091"/>
      <c r="J376" s="1091"/>
      <c r="K376" s="1091"/>
      <c r="L376" s="1091"/>
      <c r="M376" s="1091"/>
      <c r="N376" s="1091"/>
      <c r="O376" s="1091"/>
      <c r="P376" s="1091"/>
      <c r="Q376" s="1091"/>
      <c r="R376" s="110"/>
      <c r="T376" s="795"/>
      <c r="U376" s="781"/>
      <c r="V376" s="781"/>
      <c r="W376" s="781"/>
      <c r="X376" s="781"/>
      <c r="Y376" s="781"/>
      <c r="Z376" s="781"/>
      <c r="AA376" s="781"/>
      <c r="AB376" s="782"/>
      <c r="AC376" s="781"/>
    </row>
    <row r="377" spans="2:29">
      <c r="B377" s="201" t="s">
        <v>505</v>
      </c>
      <c r="C377" s="201"/>
      <c r="D377" s="1091"/>
      <c r="E377" s="1091"/>
      <c r="F377" s="1091"/>
      <c r="G377" s="1091"/>
      <c r="H377" s="1091"/>
      <c r="I377" s="1091"/>
      <c r="J377" s="1091"/>
      <c r="K377" s="1091"/>
      <c r="L377" s="1091"/>
      <c r="M377" s="1091"/>
      <c r="N377" s="1091"/>
      <c r="O377" s="1091"/>
      <c r="P377" s="1091"/>
      <c r="Q377" s="1091"/>
      <c r="R377" s="110"/>
      <c r="T377" s="795"/>
      <c r="U377" s="781"/>
      <c r="V377" s="781"/>
      <c r="W377" s="781"/>
      <c r="X377" s="781"/>
      <c r="Y377" s="781"/>
      <c r="Z377" s="781"/>
      <c r="AA377" s="781"/>
      <c r="AB377" s="782"/>
      <c r="AC377" s="781"/>
    </row>
    <row r="378" spans="2:29">
      <c r="B378" s="201" t="s">
        <v>513</v>
      </c>
      <c r="C378" s="201"/>
      <c r="D378" s="1091"/>
      <c r="E378" s="1091"/>
      <c r="F378" s="1091"/>
      <c r="G378" s="1091"/>
      <c r="H378" s="1091"/>
      <c r="I378" s="1091"/>
      <c r="J378" s="1091"/>
      <c r="K378" s="1091"/>
      <c r="L378" s="1091"/>
      <c r="M378" s="1091"/>
      <c r="N378" s="1091"/>
      <c r="O378" s="1091"/>
      <c r="P378" s="1091"/>
      <c r="Q378" s="1091"/>
      <c r="R378" s="110"/>
      <c r="T378" s="795"/>
      <c r="U378" s="781"/>
      <c r="V378" s="781"/>
      <c r="W378" s="781"/>
      <c r="X378" s="781"/>
      <c r="Y378" s="781"/>
      <c r="Z378" s="781"/>
      <c r="AA378" s="781"/>
      <c r="AB378" s="782"/>
      <c r="AC378" s="781"/>
    </row>
    <row r="379" spans="2:29">
      <c r="B379" s="201" t="s">
        <v>521</v>
      </c>
      <c r="C379" s="201"/>
      <c r="D379" s="1091"/>
      <c r="E379" s="1091"/>
      <c r="F379" s="1091"/>
      <c r="G379" s="1091"/>
      <c r="H379" s="1091"/>
      <c r="I379" s="1091"/>
      <c r="J379" s="1091"/>
      <c r="K379" s="1091"/>
      <c r="L379" s="1091"/>
      <c r="M379" s="1091"/>
      <c r="N379" s="1091"/>
      <c r="O379" s="1091"/>
      <c r="P379" s="1091"/>
      <c r="Q379" s="1091"/>
      <c r="R379" s="110"/>
      <c r="T379" s="795"/>
      <c r="U379" s="781"/>
      <c r="V379" s="781"/>
      <c r="W379" s="781"/>
      <c r="X379" s="781"/>
      <c r="Y379" s="781"/>
      <c r="Z379" s="781"/>
      <c r="AA379" s="781"/>
      <c r="AB379" s="782"/>
      <c r="AC379" s="781"/>
    </row>
    <row r="380" spans="2:29">
      <c r="B380" s="201" t="s">
        <v>529</v>
      </c>
      <c r="C380" s="201"/>
      <c r="D380" s="1091"/>
      <c r="E380" s="1091"/>
      <c r="F380" s="1091"/>
      <c r="G380" s="1091"/>
      <c r="H380" s="1091"/>
      <c r="I380" s="1091"/>
      <c r="J380" s="1091"/>
      <c r="K380" s="1091"/>
      <c r="L380" s="1091"/>
      <c r="M380" s="1091"/>
      <c r="N380" s="1091"/>
      <c r="O380" s="1091"/>
      <c r="P380" s="1091"/>
      <c r="Q380" s="1091"/>
      <c r="R380" s="110"/>
      <c r="T380" s="795"/>
      <c r="U380" s="781"/>
      <c r="V380" s="781"/>
      <c r="W380" s="781"/>
      <c r="X380" s="781"/>
      <c r="Y380" s="781"/>
      <c r="Z380" s="781"/>
      <c r="AA380" s="781"/>
      <c r="AB380" s="782"/>
      <c r="AC380" s="781"/>
    </row>
    <row r="381" spans="2:29">
      <c r="T381" s="781"/>
      <c r="U381" s="781"/>
      <c r="V381" s="781"/>
      <c r="W381" s="781"/>
      <c r="X381" s="781"/>
      <c r="Y381" s="781"/>
      <c r="Z381" s="781"/>
      <c r="AA381" s="781"/>
      <c r="AB381" s="782"/>
      <c r="AC381" s="781"/>
    </row>
    <row r="382" spans="2:29">
      <c r="D382" s="108" t="s">
        <v>625</v>
      </c>
      <c r="E382" s="108"/>
      <c r="F382"/>
      <c r="G382"/>
      <c r="H382"/>
      <c r="I382"/>
      <c r="J382"/>
      <c r="K382"/>
      <c r="L382"/>
      <c r="M382"/>
      <c r="N382"/>
      <c r="O382"/>
      <c r="P382"/>
      <c r="Q382"/>
      <c r="R382"/>
      <c r="T382" s="785" t="s">
        <v>398</v>
      </c>
      <c r="U382" s="785" t="s">
        <v>398</v>
      </c>
      <c r="V382" s="785" t="s">
        <v>398</v>
      </c>
      <c r="W382" s="785" t="s">
        <v>398</v>
      </c>
      <c r="X382" s="785" t="s">
        <v>398</v>
      </c>
      <c r="Y382" s="785" t="s">
        <v>398</v>
      </c>
      <c r="Z382" s="785" t="s">
        <v>398</v>
      </c>
      <c r="AA382" s="785" t="s">
        <v>398</v>
      </c>
      <c r="AB382" s="785" t="s">
        <v>398</v>
      </c>
      <c r="AC382" s="785" t="s">
        <v>398</v>
      </c>
    </row>
    <row r="383" spans="2:29">
      <c r="D383" s="1098" t="s">
        <v>711</v>
      </c>
      <c r="E383" s="1098"/>
      <c r="F383" s="1098"/>
      <c r="G383" s="1098"/>
      <c r="H383" s="1098"/>
      <c r="I383" s="1098"/>
      <c r="J383" s="1098"/>
      <c r="K383" s="1098"/>
      <c r="L383" s="1098"/>
      <c r="M383" s="1098"/>
      <c r="N383" s="1098"/>
      <c r="O383" s="1098"/>
      <c r="P383" s="1098"/>
      <c r="Q383" s="1098"/>
      <c r="R383" s="1098"/>
      <c r="T383" s="780">
        <f t="shared" ref="T383:AC383" si="15">T363</f>
        <v>3659.7999999999993</v>
      </c>
      <c r="U383" s="780">
        <f t="shared" si="15"/>
        <v>3517.4929565705293</v>
      </c>
      <c r="V383" s="780">
        <f t="shared" si="15"/>
        <v>3627.2295319702207</v>
      </c>
      <c r="W383" s="780">
        <f t="shared" si="15"/>
        <v>3599.3345032260308</v>
      </c>
      <c r="X383" s="780">
        <f t="shared" si="15"/>
        <v>3649.5556264534989</v>
      </c>
      <c r="Y383" s="780">
        <f t="shared" si="15"/>
        <v>3730.3912588164039</v>
      </c>
      <c r="Z383" s="780">
        <f t="shared" si="15"/>
        <v>3784.9434342435966</v>
      </c>
      <c r="AA383" s="780">
        <f t="shared" si="15"/>
        <v>3761.0543796087045</v>
      </c>
      <c r="AB383" s="780">
        <f t="shared" si="15"/>
        <v>3791.3955939788661</v>
      </c>
      <c r="AC383" s="780">
        <f t="shared" si="15"/>
        <v>3596.2300585546309</v>
      </c>
    </row>
    <row r="384" spans="2:29">
      <c r="D384" s="1098" t="s">
        <v>714</v>
      </c>
      <c r="E384" s="1098"/>
      <c r="F384" s="1098"/>
      <c r="G384" s="1098"/>
      <c r="H384" s="1098"/>
      <c r="I384" s="1098"/>
      <c r="J384" s="1098"/>
      <c r="K384" s="1098"/>
      <c r="L384" s="1098"/>
      <c r="M384" s="1098"/>
      <c r="N384" s="1098"/>
      <c r="O384" s="1098"/>
      <c r="P384" s="1098"/>
      <c r="Q384" s="1098"/>
      <c r="R384" s="1098"/>
      <c r="T384" s="779">
        <v>0</v>
      </c>
      <c r="U384" s="779">
        <v>0</v>
      </c>
      <c r="V384" s="779">
        <v>0</v>
      </c>
      <c r="W384" s="779">
        <v>0</v>
      </c>
      <c r="X384" s="779">
        <v>0</v>
      </c>
      <c r="Y384" s="779">
        <v>0</v>
      </c>
      <c r="Z384" s="779">
        <v>0</v>
      </c>
      <c r="AA384" s="779">
        <v>0</v>
      </c>
      <c r="AB384" s="779">
        <v>0</v>
      </c>
      <c r="AC384" s="779">
        <v>0</v>
      </c>
    </row>
    <row r="385" spans="4:29" ht="12.75" customHeight="1">
      <c r="D385" s="1098" t="s">
        <v>715</v>
      </c>
      <c r="E385" s="1098"/>
      <c r="F385" s="1098"/>
      <c r="G385" s="1098"/>
      <c r="H385" s="1098"/>
      <c r="I385" s="1098"/>
      <c r="J385" s="1098"/>
      <c r="K385" s="1098"/>
      <c r="L385" s="1098"/>
      <c r="M385" s="1098"/>
      <c r="N385" s="1098"/>
      <c r="O385" s="1098"/>
      <c r="P385" s="1098"/>
      <c r="Q385" s="1098"/>
      <c r="R385" s="1098"/>
      <c r="T385" s="779">
        <v>0</v>
      </c>
      <c r="U385" s="779">
        <v>0</v>
      </c>
      <c r="V385" s="779">
        <v>0</v>
      </c>
      <c r="W385" s="779">
        <v>0</v>
      </c>
      <c r="X385" s="779">
        <v>0</v>
      </c>
      <c r="Y385" s="779">
        <v>0</v>
      </c>
      <c r="Z385" s="779">
        <v>0</v>
      </c>
      <c r="AA385" s="779">
        <v>0</v>
      </c>
      <c r="AB385" s="779">
        <v>0</v>
      </c>
      <c r="AC385" s="779">
        <v>0</v>
      </c>
    </row>
    <row r="386" spans="4:29" ht="12.75" customHeight="1">
      <c r="D386" s="1098" t="s">
        <v>716</v>
      </c>
      <c r="E386" s="1098"/>
      <c r="F386" s="1098"/>
      <c r="G386" s="1098"/>
      <c r="H386" s="1098"/>
      <c r="I386" s="1098"/>
      <c r="J386" s="1098"/>
      <c r="K386" s="1098"/>
      <c r="L386" s="1098"/>
      <c r="M386" s="1098"/>
      <c r="N386" s="1098"/>
      <c r="O386" s="1098"/>
      <c r="P386" s="1098"/>
      <c r="Q386" s="1098"/>
      <c r="R386" s="1098"/>
      <c r="T386" s="779">
        <v>0</v>
      </c>
      <c r="U386" s="779">
        <v>0</v>
      </c>
      <c r="V386" s="779">
        <v>0</v>
      </c>
      <c r="W386" s="779">
        <v>0</v>
      </c>
      <c r="X386" s="779">
        <v>0</v>
      </c>
      <c r="Y386" s="779">
        <v>0</v>
      </c>
      <c r="Z386" s="779">
        <v>0</v>
      </c>
      <c r="AA386" s="779">
        <v>0</v>
      </c>
      <c r="AB386" s="779">
        <v>0</v>
      </c>
      <c r="AC386" s="779">
        <v>0</v>
      </c>
    </row>
    <row r="387" spans="4:29" ht="12.75" customHeight="1">
      <c r="D387" s="1097" t="s">
        <v>717</v>
      </c>
      <c r="E387" s="1097"/>
      <c r="F387" s="1097"/>
      <c r="G387" s="1097"/>
      <c r="H387" s="1097"/>
      <c r="I387" s="1097"/>
      <c r="J387" s="1097"/>
      <c r="K387" s="1097"/>
      <c r="L387" s="1097"/>
      <c r="M387" s="1097"/>
      <c r="N387" s="1097"/>
      <c r="O387" s="1097"/>
      <c r="P387" s="1097"/>
      <c r="Q387" s="1097"/>
      <c r="R387" s="1097"/>
      <c r="T387" s="779">
        <v>0</v>
      </c>
      <c r="U387" s="779">
        <v>0</v>
      </c>
      <c r="V387" s="779">
        <v>0</v>
      </c>
      <c r="W387" s="779">
        <v>0</v>
      </c>
      <c r="X387" s="779">
        <v>0</v>
      </c>
      <c r="Y387" s="779">
        <v>0</v>
      </c>
      <c r="Z387" s="779">
        <v>0</v>
      </c>
      <c r="AA387" s="779">
        <v>0</v>
      </c>
      <c r="AB387" s="779">
        <v>0</v>
      </c>
      <c r="AC387" s="779">
        <v>0</v>
      </c>
    </row>
    <row r="388" spans="4:29" ht="12.75" customHeight="1">
      <c r="D388" s="1093" t="s">
        <v>1369</v>
      </c>
      <c r="E388" s="1093"/>
      <c r="F388" s="1093"/>
      <c r="G388" s="1093"/>
      <c r="H388" s="1093"/>
      <c r="I388" s="1093"/>
      <c r="J388" s="1093"/>
      <c r="K388" s="1093"/>
      <c r="L388" s="1093"/>
      <c r="M388" s="1093"/>
      <c r="N388" s="1093"/>
      <c r="O388" s="1093"/>
      <c r="P388" s="1093"/>
      <c r="Q388" s="1093"/>
      <c r="R388" s="1093"/>
      <c r="T388" s="779">
        <v>0</v>
      </c>
      <c r="U388" s="779">
        <v>0</v>
      </c>
      <c r="V388" s="779">
        <v>0</v>
      </c>
      <c r="W388" s="779">
        <v>0</v>
      </c>
      <c r="X388" s="779">
        <v>0</v>
      </c>
      <c r="Y388" s="779">
        <v>0</v>
      </c>
      <c r="Z388" s="779">
        <v>0</v>
      </c>
      <c r="AA388" s="779">
        <v>0</v>
      </c>
      <c r="AB388" s="779">
        <v>0</v>
      </c>
      <c r="AC388" s="779">
        <v>0</v>
      </c>
    </row>
    <row r="389" spans="4:29" ht="12.75" customHeight="1">
      <c r="D389" s="1093" t="s">
        <v>1370</v>
      </c>
      <c r="E389" s="1093"/>
      <c r="F389" s="1093"/>
      <c r="G389" s="1093"/>
      <c r="H389" s="1093"/>
      <c r="I389" s="1093"/>
      <c r="J389" s="1093"/>
      <c r="K389" s="1093"/>
      <c r="L389" s="1093"/>
      <c r="M389" s="1093"/>
      <c r="N389" s="1093"/>
      <c r="O389" s="1093"/>
      <c r="P389" s="1093"/>
      <c r="Q389" s="1093"/>
      <c r="R389" s="1093"/>
      <c r="T389" s="779">
        <v>-124.3674946666504</v>
      </c>
      <c r="U389" s="779">
        <v>-124.3674946666504</v>
      </c>
      <c r="V389" s="779">
        <v>-124.3674946666504</v>
      </c>
      <c r="W389" s="779">
        <v>-124.3674946666504</v>
      </c>
      <c r="X389" s="779">
        <v>-124.3674946666504</v>
      </c>
      <c r="Y389" s="779">
        <v>-124.3674946666504</v>
      </c>
      <c r="Z389" s="779">
        <v>-124.3674946666504</v>
      </c>
      <c r="AA389" s="779">
        <v>-124.3674946666504</v>
      </c>
      <c r="AB389" s="779">
        <v>-124.3674946666504</v>
      </c>
      <c r="AC389" s="779">
        <v>-124.3674946666504</v>
      </c>
    </row>
    <row r="390" spans="4:29" ht="12.75" customHeight="1">
      <c r="D390" s="1093" t="s">
        <v>1371</v>
      </c>
      <c r="E390" s="1093"/>
      <c r="F390" s="1093"/>
      <c r="G390" s="1093"/>
      <c r="H390" s="1093"/>
      <c r="I390" s="1093"/>
      <c r="J390" s="1093"/>
      <c r="K390" s="1093"/>
      <c r="L390" s="1093"/>
      <c r="M390" s="1093"/>
      <c r="N390" s="1093"/>
      <c r="O390" s="1093"/>
      <c r="P390" s="1093"/>
      <c r="Q390" s="1093"/>
      <c r="R390" s="1093"/>
      <c r="T390" s="779">
        <v>-82.493023581477615</v>
      </c>
      <c r="U390" s="779">
        <v>-82.493023581477615</v>
      </c>
      <c r="V390" s="779">
        <v>-82.493023581477615</v>
      </c>
      <c r="W390" s="779">
        <v>-82.493023581477615</v>
      </c>
      <c r="X390" s="779">
        <v>-82.493023581477615</v>
      </c>
      <c r="Y390" s="779">
        <v>-82.493023581477615</v>
      </c>
      <c r="Z390" s="779">
        <v>-82.493023581477615</v>
      </c>
      <c r="AA390" s="779">
        <v>-82.493023581477615</v>
      </c>
      <c r="AB390" s="779">
        <v>-82.493023581477615</v>
      </c>
      <c r="AC390" s="779">
        <v>-82.493023581477615</v>
      </c>
    </row>
    <row r="391" spans="4:29" ht="12.75" customHeight="1">
      <c r="D391" s="1093" t="s">
        <v>1372</v>
      </c>
      <c r="E391" s="1093"/>
      <c r="F391" s="1093"/>
      <c r="G391" s="1093"/>
      <c r="H391" s="1093"/>
      <c r="I391" s="1093"/>
      <c r="J391" s="1093"/>
      <c r="K391" s="1093"/>
      <c r="L391" s="1093"/>
      <c r="M391" s="1093"/>
      <c r="N391" s="1093"/>
      <c r="O391" s="1093"/>
      <c r="P391" s="1093"/>
      <c r="Q391" s="1093"/>
      <c r="R391" s="1093"/>
      <c r="T391" s="779">
        <v>64.665000000000006</v>
      </c>
      <c r="U391" s="779">
        <v>64.665000000000006</v>
      </c>
      <c r="V391" s="779">
        <v>64.665000000000006</v>
      </c>
      <c r="W391" s="779">
        <v>64.665000000000006</v>
      </c>
      <c r="X391" s="779">
        <v>64.665000000000006</v>
      </c>
      <c r="Y391" s="779">
        <v>64.665000000000006</v>
      </c>
      <c r="Z391" s="779">
        <v>64.665000000000006</v>
      </c>
      <c r="AA391" s="779">
        <v>64.665000000000006</v>
      </c>
      <c r="AB391" s="779">
        <v>64.665000000000006</v>
      </c>
      <c r="AC391" s="779">
        <v>64.665000000000006</v>
      </c>
    </row>
    <row r="392" spans="4:29" ht="12.75" customHeight="1">
      <c r="D392" s="1093" t="s">
        <v>1373</v>
      </c>
      <c r="E392" s="1093"/>
      <c r="F392" s="1093"/>
      <c r="G392" s="1093"/>
      <c r="H392" s="1093"/>
      <c r="I392" s="1093"/>
      <c r="J392" s="1093"/>
      <c r="K392" s="1093"/>
      <c r="L392" s="1093"/>
      <c r="M392" s="1093"/>
      <c r="N392" s="1093"/>
      <c r="O392" s="1093"/>
      <c r="P392" s="1093"/>
      <c r="Q392" s="1093"/>
      <c r="R392" s="1093"/>
      <c r="T392" s="779">
        <v>-6.6980000000000004</v>
      </c>
      <c r="U392" s="779">
        <v>-6.6980000000000004</v>
      </c>
      <c r="V392" s="779">
        <v>-6.6980000000000004</v>
      </c>
      <c r="W392" s="779">
        <v>-6.6980000000000004</v>
      </c>
      <c r="X392" s="779">
        <v>-6.6980000000000004</v>
      </c>
      <c r="Y392" s="779">
        <v>-6.6980000000000004</v>
      </c>
      <c r="Z392" s="779">
        <v>-6.6980000000000004</v>
      </c>
      <c r="AA392" s="779">
        <v>-6.6980000000000004</v>
      </c>
      <c r="AB392" s="779">
        <v>-6.6980000000000004</v>
      </c>
      <c r="AC392" s="779">
        <v>-6.6980000000000004</v>
      </c>
    </row>
    <row r="393" spans="4:29" ht="12.75" customHeight="1">
      <c r="D393" s="1093" t="s">
        <v>1374</v>
      </c>
      <c r="E393" s="1093"/>
      <c r="F393" s="1093"/>
      <c r="G393" s="1093"/>
      <c r="H393" s="1093"/>
      <c r="I393" s="1093"/>
      <c r="J393" s="1093"/>
      <c r="K393" s="1093"/>
      <c r="L393" s="1093"/>
      <c r="M393" s="1093"/>
      <c r="N393" s="1093"/>
      <c r="O393" s="1093"/>
      <c r="P393" s="1093"/>
      <c r="Q393" s="1093"/>
      <c r="R393" s="1093"/>
      <c r="T393" s="779">
        <v>5.6999999999999975</v>
      </c>
      <c r="U393" s="779">
        <v>0</v>
      </c>
      <c r="V393" s="779">
        <v>0</v>
      </c>
      <c r="W393" s="779">
        <v>0</v>
      </c>
      <c r="X393" s="779">
        <v>0</v>
      </c>
      <c r="Y393" s="779">
        <v>0</v>
      </c>
      <c r="Z393" s="779">
        <v>0</v>
      </c>
      <c r="AA393" s="779">
        <v>0</v>
      </c>
      <c r="AB393" s="779">
        <v>0</v>
      </c>
      <c r="AC393" s="779">
        <v>0</v>
      </c>
    </row>
    <row r="394" spans="4:29" ht="12.75" customHeight="1">
      <c r="D394" s="1093" t="s">
        <v>1375</v>
      </c>
      <c r="E394" s="1093"/>
      <c r="F394" s="1093"/>
      <c r="G394" s="1093"/>
      <c r="H394" s="1093"/>
      <c r="I394" s="1093"/>
      <c r="J394" s="1093"/>
      <c r="K394" s="1093"/>
      <c r="L394" s="1093"/>
      <c r="M394" s="1093"/>
      <c r="N394" s="1093"/>
      <c r="O394" s="1093"/>
      <c r="P394" s="1093"/>
      <c r="Q394" s="1093"/>
      <c r="R394" s="1093"/>
      <c r="T394" s="779">
        <v>-10.7</v>
      </c>
      <c r="U394" s="779">
        <v>-10.7</v>
      </c>
      <c r="V394" s="779">
        <v>-10.7</v>
      </c>
      <c r="W394" s="779">
        <v>-10.7</v>
      </c>
      <c r="X394" s="779">
        <v>-10.7</v>
      </c>
      <c r="Y394" s="779">
        <v>-10.7</v>
      </c>
      <c r="Z394" s="779">
        <v>-10.7</v>
      </c>
      <c r="AA394" s="779">
        <v>-10.7</v>
      </c>
      <c r="AB394" s="779">
        <v>-10.7</v>
      </c>
      <c r="AC394" s="779">
        <v>-10.7</v>
      </c>
    </row>
    <row r="395" spans="4:29" ht="12.75" customHeight="1">
      <c r="D395" s="1093" t="s">
        <v>1376</v>
      </c>
      <c r="E395" s="1093"/>
      <c r="F395" s="1093"/>
      <c r="G395" s="1093"/>
      <c r="H395" s="1093"/>
      <c r="I395" s="1093"/>
      <c r="J395" s="1093"/>
      <c r="K395" s="1093"/>
      <c r="L395" s="1093"/>
      <c r="M395" s="1093"/>
      <c r="N395" s="1093"/>
      <c r="O395" s="1093"/>
      <c r="P395" s="1093"/>
      <c r="Q395" s="1093"/>
      <c r="R395" s="1093"/>
      <c r="T395" s="779">
        <v>0</v>
      </c>
      <c r="U395" s="779">
        <v>0</v>
      </c>
      <c r="V395" s="779">
        <v>0</v>
      </c>
      <c r="W395" s="779">
        <v>0</v>
      </c>
      <c r="X395" s="779">
        <v>0</v>
      </c>
      <c r="Y395" s="779">
        <v>0</v>
      </c>
      <c r="Z395" s="779">
        <v>0</v>
      </c>
      <c r="AA395" s="779">
        <v>0</v>
      </c>
      <c r="AB395" s="779">
        <v>0</v>
      </c>
      <c r="AC395" s="779">
        <v>0</v>
      </c>
    </row>
    <row r="396" spans="4:29" ht="12.75" customHeight="1">
      <c r="D396" s="1093" t="s">
        <v>1377</v>
      </c>
      <c r="E396" s="1093"/>
      <c r="F396" s="1093"/>
      <c r="G396" s="1093"/>
      <c r="H396" s="1093"/>
      <c r="I396" s="1093"/>
      <c r="J396" s="1093"/>
      <c r="K396" s="1093"/>
      <c r="L396" s="1093"/>
      <c r="M396" s="1093"/>
      <c r="N396" s="1093"/>
      <c r="O396" s="1093"/>
      <c r="P396" s="1093"/>
      <c r="Q396" s="1093"/>
      <c r="R396" s="1093"/>
      <c r="T396" s="779">
        <v>0</v>
      </c>
      <c r="U396" s="779">
        <v>0</v>
      </c>
      <c r="V396" s="779">
        <v>0</v>
      </c>
      <c r="W396" s="779">
        <v>0</v>
      </c>
      <c r="X396" s="779">
        <v>0</v>
      </c>
      <c r="Y396" s="779">
        <v>0</v>
      </c>
      <c r="Z396" s="779">
        <v>0</v>
      </c>
      <c r="AA396" s="779">
        <v>0</v>
      </c>
      <c r="AB396" s="779">
        <v>0</v>
      </c>
      <c r="AC396" s="779">
        <v>0</v>
      </c>
    </row>
    <row r="397" spans="4:29" ht="12.75" customHeight="1">
      <c r="D397" s="1093" t="s">
        <v>1378</v>
      </c>
      <c r="E397" s="1093"/>
      <c r="F397" s="1093"/>
      <c r="G397" s="1093"/>
      <c r="H397" s="1093"/>
      <c r="I397" s="1093"/>
      <c r="J397" s="1093"/>
      <c r="K397" s="1093"/>
      <c r="L397" s="1093"/>
      <c r="M397" s="1093"/>
      <c r="N397" s="1093"/>
      <c r="O397" s="1093"/>
      <c r="P397" s="1093"/>
      <c r="Q397" s="1093"/>
      <c r="R397" s="1093"/>
      <c r="T397" s="779">
        <v>0</v>
      </c>
      <c r="U397" s="779">
        <v>0</v>
      </c>
      <c r="V397" s="779">
        <v>0</v>
      </c>
      <c r="W397" s="779">
        <v>0</v>
      </c>
      <c r="X397" s="779">
        <v>0</v>
      </c>
      <c r="Y397" s="779">
        <v>0</v>
      </c>
      <c r="Z397" s="779">
        <v>0</v>
      </c>
      <c r="AA397" s="779">
        <v>0</v>
      </c>
      <c r="AB397" s="779">
        <v>0</v>
      </c>
      <c r="AC397" s="779">
        <v>0</v>
      </c>
    </row>
    <row r="398" spans="4:29" ht="12.75" customHeight="1">
      <c r="D398" s="1093" t="s">
        <v>1379</v>
      </c>
      <c r="E398" s="1093"/>
      <c r="F398" s="1093"/>
      <c r="G398" s="1093"/>
      <c r="H398" s="1093"/>
      <c r="I398" s="1093"/>
      <c r="J398" s="1093"/>
      <c r="K398" s="1093"/>
      <c r="L398" s="1093"/>
      <c r="M398" s="1093"/>
      <c r="N398" s="1093"/>
      <c r="O398" s="1093"/>
      <c r="P398" s="1093"/>
      <c r="Q398" s="1093"/>
      <c r="R398" s="1093"/>
      <c r="T398" s="779">
        <v>0</v>
      </c>
      <c r="U398" s="779">
        <v>0</v>
      </c>
      <c r="V398" s="779">
        <v>0</v>
      </c>
      <c r="W398" s="779">
        <v>0</v>
      </c>
      <c r="X398" s="779">
        <v>0</v>
      </c>
      <c r="Y398" s="779">
        <v>0</v>
      </c>
      <c r="Z398" s="779">
        <v>0</v>
      </c>
      <c r="AA398" s="779">
        <v>0</v>
      </c>
      <c r="AB398" s="779">
        <v>0</v>
      </c>
      <c r="AC398" s="779">
        <v>0</v>
      </c>
    </row>
    <row r="399" spans="4:29" ht="12.75" customHeight="1">
      <c r="D399" s="1093" t="s">
        <v>1380</v>
      </c>
      <c r="E399" s="1093"/>
      <c r="F399" s="1093"/>
      <c r="G399" s="1093"/>
      <c r="H399" s="1093"/>
      <c r="I399" s="1093"/>
      <c r="J399" s="1093"/>
      <c r="K399" s="1093"/>
      <c r="L399" s="1093"/>
      <c r="M399" s="1093"/>
      <c r="N399" s="1093"/>
      <c r="O399" s="1093"/>
      <c r="P399" s="1093"/>
      <c r="Q399" s="1093"/>
      <c r="R399" s="1093"/>
      <c r="T399" s="779">
        <v>0</v>
      </c>
      <c r="U399" s="779">
        <v>0</v>
      </c>
      <c r="V399" s="779">
        <v>0</v>
      </c>
      <c r="W399" s="779">
        <v>0</v>
      </c>
      <c r="X399" s="779">
        <v>0</v>
      </c>
      <c r="Y399" s="779">
        <v>0</v>
      </c>
      <c r="Z399" s="779">
        <v>0</v>
      </c>
      <c r="AA399" s="779">
        <v>0</v>
      </c>
      <c r="AB399" s="779">
        <v>0</v>
      </c>
      <c r="AC399" s="779">
        <v>0</v>
      </c>
    </row>
    <row r="400" spans="4:29">
      <c r="D400" s="1099" t="s">
        <v>718</v>
      </c>
      <c r="E400" s="1099"/>
      <c r="F400" s="1099"/>
      <c r="G400" s="1099"/>
      <c r="H400" s="1099"/>
      <c r="I400" s="1099"/>
      <c r="J400" s="1099"/>
      <c r="K400" s="1099"/>
      <c r="L400" s="1099"/>
      <c r="M400" s="1099"/>
      <c r="N400" s="1099"/>
      <c r="O400" s="1099"/>
      <c r="P400" s="1099"/>
      <c r="Q400" s="1099"/>
      <c r="R400" s="1099"/>
      <c r="T400" s="780">
        <f t="shared" ref="T400:AC400" si="16">SUM(T383:T399)</f>
        <v>3505.9064817518711</v>
      </c>
      <c r="U400" s="780">
        <f t="shared" si="16"/>
        <v>3357.8994383224012</v>
      </c>
      <c r="V400" s="780">
        <f t="shared" si="16"/>
        <v>3467.6360137220927</v>
      </c>
      <c r="W400" s="780">
        <f t="shared" si="16"/>
        <v>3439.7409849779028</v>
      </c>
      <c r="X400" s="780">
        <f t="shared" si="16"/>
        <v>3489.9621082053709</v>
      </c>
      <c r="Y400" s="780">
        <f t="shared" si="16"/>
        <v>3570.7977405682759</v>
      </c>
      <c r="Z400" s="780">
        <f>SUM(Z383:Z399)</f>
        <v>3625.3499159954686</v>
      </c>
      <c r="AA400" s="780">
        <f t="shared" si="16"/>
        <v>3601.4608613605765</v>
      </c>
      <c r="AB400" s="780">
        <f t="shared" si="16"/>
        <v>3631.8020757307381</v>
      </c>
      <c r="AC400" s="780">
        <f t="shared" si="16"/>
        <v>3436.6365403065029</v>
      </c>
    </row>
    <row r="401" spans="2:29">
      <c r="AB401" s="179"/>
    </row>
    <row r="402" spans="2:29">
      <c r="D402" s="98" t="s">
        <v>631</v>
      </c>
      <c r="E402" s="98"/>
      <c r="AB402" s="179"/>
    </row>
    <row r="403" spans="2:29">
      <c r="D403" s="99" t="s">
        <v>632</v>
      </c>
      <c r="T403" s="758">
        <v>0</v>
      </c>
      <c r="U403" s="758">
        <v>0</v>
      </c>
      <c r="V403" s="758">
        <v>0</v>
      </c>
      <c r="W403" s="758">
        <v>0</v>
      </c>
      <c r="X403" s="758">
        <v>0</v>
      </c>
      <c r="Y403" s="758">
        <v>0</v>
      </c>
      <c r="Z403" s="758">
        <v>0</v>
      </c>
      <c r="AA403" s="758">
        <v>0</v>
      </c>
      <c r="AB403" s="758">
        <v>0</v>
      </c>
      <c r="AC403" s="758">
        <v>0</v>
      </c>
    </row>
    <row r="404" spans="2:29">
      <c r="D404" s="99" t="s">
        <v>572</v>
      </c>
      <c r="T404" s="733">
        <f>1-T403</f>
        <v>1</v>
      </c>
      <c r="U404" s="733">
        <f t="shared" ref="U404:AC404" si="17">1-U403</f>
        <v>1</v>
      </c>
      <c r="V404" s="733">
        <f t="shared" si="17"/>
        <v>1</v>
      </c>
      <c r="W404" s="733">
        <f t="shared" si="17"/>
        <v>1</v>
      </c>
      <c r="X404" s="733">
        <f t="shared" si="17"/>
        <v>1</v>
      </c>
      <c r="Y404" s="733">
        <f t="shared" si="17"/>
        <v>1</v>
      </c>
      <c r="Z404" s="733">
        <f t="shared" si="17"/>
        <v>1</v>
      </c>
      <c r="AA404" s="733">
        <f t="shared" si="17"/>
        <v>1</v>
      </c>
      <c r="AB404" s="733">
        <f t="shared" si="17"/>
        <v>1</v>
      </c>
      <c r="AC404" s="733">
        <f t="shared" si="17"/>
        <v>1</v>
      </c>
    </row>
    <row r="405" spans="2:29">
      <c r="AB405" s="179"/>
    </row>
    <row r="406" spans="2:29">
      <c r="AB406" s="179"/>
    </row>
    <row r="407" spans="2:29" ht="16">
      <c r="B407" s="199" t="s">
        <v>719</v>
      </c>
      <c r="C407" s="199"/>
      <c r="D407" s="94"/>
      <c r="E407" s="94"/>
      <c r="F407" s="94"/>
      <c r="G407" s="94"/>
      <c r="H407" s="94"/>
      <c r="I407" s="94"/>
      <c r="J407" s="94"/>
      <c r="K407" s="94"/>
      <c r="L407" s="94"/>
      <c r="M407" s="94"/>
      <c r="N407" s="94"/>
      <c r="O407" s="94"/>
      <c r="P407" s="94"/>
      <c r="Q407" s="94"/>
      <c r="AB407" s="179"/>
    </row>
    <row r="408" spans="2:29">
      <c r="AB408" s="179"/>
    </row>
    <row r="409" spans="2:29">
      <c r="D409" s="108" t="s">
        <v>720</v>
      </c>
      <c r="E409" s="108"/>
      <c r="F409"/>
      <c r="G409"/>
      <c r="H409"/>
      <c r="I409"/>
      <c r="J409"/>
      <c r="K409"/>
      <c r="L409"/>
      <c r="M409"/>
      <c r="N409"/>
      <c r="O409"/>
      <c r="P409"/>
      <c r="Q409"/>
      <c r="R409"/>
      <c r="T409" s="536" t="s">
        <v>194</v>
      </c>
      <c r="U409" s="536" t="s">
        <v>194</v>
      </c>
      <c r="V409" s="536" t="s">
        <v>194</v>
      </c>
      <c r="W409" s="536" t="s">
        <v>194</v>
      </c>
      <c r="X409" s="536" t="s">
        <v>194</v>
      </c>
      <c r="Y409" s="536" t="s">
        <v>194</v>
      </c>
      <c r="Z409" s="536" t="s">
        <v>194</v>
      </c>
      <c r="AA409" s="536" t="s">
        <v>194</v>
      </c>
      <c r="AB409" s="536" t="s">
        <v>194</v>
      </c>
      <c r="AC409" s="536" t="s">
        <v>194</v>
      </c>
    </row>
    <row r="410" spans="2:29">
      <c r="D410" s="1098" t="s">
        <v>721</v>
      </c>
      <c r="E410" s="1098"/>
      <c r="F410" s="1098"/>
      <c r="G410" s="1098"/>
      <c r="H410" s="1098"/>
      <c r="I410" s="1098"/>
      <c r="J410" s="1098"/>
      <c r="K410" s="1098"/>
      <c r="L410" s="1098"/>
      <c r="M410" s="1098"/>
      <c r="N410" s="1098"/>
      <c r="O410" s="1098"/>
      <c r="P410" s="1098"/>
      <c r="Q410" s="1098"/>
      <c r="R410" s="1098"/>
      <c r="T410" s="943">
        <v>0.31319999999999998</v>
      </c>
      <c r="U410" s="943">
        <v>0.31319999999999998</v>
      </c>
      <c r="V410" s="943">
        <v>0.31319999999999998</v>
      </c>
      <c r="W410" s="943">
        <v>0.31319999999999998</v>
      </c>
      <c r="X410" s="943">
        <v>0.31319999999999998</v>
      </c>
      <c r="Y410" s="943">
        <v>0.31319999999999998</v>
      </c>
      <c r="Z410" s="943">
        <v>0.31319999999999998</v>
      </c>
      <c r="AA410" s="943">
        <v>0.31319999999999998</v>
      </c>
      <c r="AB410" s="943">
        <v>0.31319999999999998</v>
      </c>
      <c r="AC410" s="943">
        <v>0.31319999999999998</v>
      </c>
    </row>
    <row r="411" spans="2:29">
      <c r="D411" s="1098" t="s">
        <v>722</v>
      </c>
      <c r="E411" s="1098"/>
      <c r="F411" s="1098"/>
      <c r="G411" s="1098"/>
      <c r="H411" s="1098"/>
      <c r="I411" s="1098"/>
      <c r="J411" s="1098"/>
      <c r="K411" s="1098"/>
      <c r="L411" s="1098"/>
      <c r="M411" s="1098"/>
      <c r="N411" s="1098"/>
      <c r="O411" s="1098"/>
      <c r="P411" s="1098"/>
      <c r="Q411" s="1098"/>
      <c r="R411" s="1098"/>
      <c r="T411" s="943">
        <v>-0.1174</v>
      </c>
      <c r="U411" s="943">
        <v>-0.1174</v>
      </c>
      <c r="V411" s="943">
        <v>-0.1174</v>
      </c>
      <c r="W411" s="943">
        <v>-0.1174</v>
      </c>
      <c r="X411" s="943">
        <v>-0.1174</v>
      </c>
      <c r="Y411" s="943">
        <v>-0.1174</v>
      </c>
      <c r="Z411" s="943">
        <v>-0.1174</v>
      </c>
      <c r="AA411" s="943">
        <v>-0.1174</v>
      </c>
      <c r="AB411" s="943">
        <v>-0.1174</v>
      </c>
      <c r="AC411" s="943">
        <v>-0.1174</v>
      </c>
    </row>
    <row r="412" spans="2:29">
      <c r="D412" s="1098" t="s">
        <v>723</v>
      </c>
      <c r="E412" s="1098"/>
      <c r="F412" s="1098"/>
      <c r="G412" s="1098"/>
      <c r="H412" s="1098"/>
      <c r="I412" s="1098"/>
      <c r="J412" s="1098"/>
      <c r="K412" s="1098"/>
      <c r="L412" s="1098"/>
      <c r="M412" s="1098"/>
      <c r="N412" s="1098"/>
      <c r="O412" s="1098"/>
      <c r="P412" s="1098"/>
      <c r="Q412" s="1098"/>
      <c r="R412" s="1098"/>
      <c r="T412" s="943">
        <v>0.80420000000000003</v>
      </c>
      <c r="U412" s="943">
        <v>0.80420000000000003</v>
      </c>
      <c r="V412" s="943">
        <v>0.80420000000000003</v>
      </c>
      <c r="W412" s="943">
        <v>0.80420000000000003</v>
      </c>
      <c r="X412" s="943">
        <v>0.80420000000000003</v>
      </c>
      <c r="Y412" s="943">
        <v>0.80420000000000003</v>
      </c>
      <c r="Z412" s="943">
        <v>0.80420000000000003</v>
      </c>
      <c r="AA412" s="943">
        <v>0.80420000000000003</v>
      </c>
      <c r="AB412" s="943">
        <v>0.80420000000000003</v>
      </c>
      <c r="AC412" s="943">
        <v>0.80420000000000003</v>
      </c>
    </row>
    <row r="413" spans="2:29">
      <c r="D413" s="1098" t="s">
        <v>724</v>
      </c>
      <c r="E413" s="1098"/>
      <c r="F413" s="1098"/>
      <c r="G413" s="1098"/>
      <c r="H413" s="1098"/>
      <c r="I413" s="1098"/>
      <c r="J413" s="1098"/>
      <c r="K413" s="1098"/>
      <c r="L413" s="1098"/>
      <c r="M413" s="1098"/>
      <c r="N413" s="1098"/>
      <c r="O413" s="1098"/>
      <c r="P413" s="1098"/>
      <c r="Q413" s="1098"/>
      <c r="R413" s="1098"/>
      <c r="T413" s="943">
        <v>0</v>
      </c>
      <c r="U413" s="943">
        <v>0</v>
      </c>
      <c r="V413" s="943">
        <v>0</v>
      </c>
      <c r="W413" s="943">
        <v>0</v>
      </c>
      <c r="X413" s="943">
        <v>0</v>
      </c>
      <c r="Y413" s="943">
        <v>0</v>
      </c>
      <c r="Z413" s="943">
        <v>0</v>
      </c>
      <c r="AA413" s="943">
        <v>0</v>
      </c>
      <c r="AB413" s="943">
        <v>0</v>
      </c>
      <c r="AC413" s="943">
        <v>0</v>
      </c>
    </row>
    <row r="414" spans="2:29">
      <c r="D414" s="1099" t="s">
        <v>309</v>
      </c>
      <c r="E414" s="1099"/>
      <c r="F414" s="1099"/>
      <c r="G414" s="1099"/>
      <c r="H414" s="1099"/>
      <c r="I414" s="1099"/>
      <c r="J414" s="1099"/>
      <c r="K414" s="1099"/>
      <c r="L414" s="1099"/>
      <c r="M414" s="1099"/>
      <c r="N414" s="1099"/>
      <c r="O414" s="1099"/>
      <c r="P414" s="1099"/>
      <c r="Q414" s="1099"/>
      <c r="R414" s="1099"/>
      <c r="T414" s="944">
        <f t="shared" ref="T414:AC414" si="18">SUM(T410:T413)</f>
        <v>1</v>
      </c>
      <c r="U414" s="733">
        <f t="shared" si="18"/>
        <v>1</v>
      </c>
      <c r="V414" s="733">
        <f t="shared" si="18"/>
        <v>1</v>
      </c>
      <c r="W414" s="733">
        <f t="shared" si="18"/>
        <v>1</v>
      </c>
      <c r="X414" s="733">
        <f t="shared" si="18"/>
        <v>1</v>
      </c>
      <c r="Y414" s="733">
        <f t="shared" si="18"/>
        <v>1</v>
      </c>
      <c r="Z414" s="733">
        <f t="shared" si="18"/>
        <v>1</v>
      </c>
      <c r="AA414" s="733">
        <f t="shared" si="18"/>
        <v>1</v>
      </c>
      <c r="AB414" s="733">
        <f t="shared" si="18"/>
        <v>1</v>
      </c>
      <c r="AC414" s="733">
        <f t="shared" si="18"/>
        <v>1</v>
      </c>
    </row>
    <row r="415" spans="2:29">
      <c r="D415" s="121" t="s">
        <v>255</v>
      </c>
      <c r="T415" s="99" t="str">
        <f>IF(T414 = 1, "OK", "Error: should = 100%")</f>
        <v>OK</v>
      </c>
      <c r="U415" s="99" t="str">
        <f t="shared" ref="U415:AC415" si="19">IF(U414 = 1, "OK", "Error: should = 100%")</f>
        <v>OK</v>
      </c>
      <c r="V415" s="99" t="str">
        <f t="shared" si="19"/>
        <v>OK</v>
      </c>
      <c r="W415" s="99" t="str">
        <f t="shared" si="19"/>
        <v>OK</v>
      </c>
      <c r="X415" s="99" t="str">
        <f t="shared" si="19"/>
        <v>OK</v>
      </c>
      <c r="Y415" s="99" t="str">
        <f t="shared" si="19"/>
        <v>OK</v>
      </c>
      <c r="Z415" s="99" t="str">
        <f t="shared" si="19"/>
        <v>OK</v>
      </c>
      <c r="AA415" s="99" t="str">
        <f t="shared" si="19"/>
        <v>OK</v>
      </c>
      <c r="AB415" s="179" t="str">
        <f t="shared" si="19"/>
        <v>OK</v>
      </c>
      <c r="AC415" s="99" t="str">
        <f t="shared" si="19"/>
        <v>OK</v>
      </c>
    </row>
    <row r="416" spans="2:29">
      <c r="AB416" s="179"/>
    </row>
    <row r="417" spans="4:29">
      <c r="D417" s="108" t="s">
        <v>725</v>
      </c>
      <c r="E417" s="108"/>
      <c r="F417"/>
      <c r="G417"/>
      <c r="H417"/>
      <c r="I417"/>
      <c r="J417"/>
      <c r="K417"/>
      <c r="L417"/>
      <c r="M417"/>
      <c r="N417"/>
      <c r="O417"/>
      <c r="P417"/>
      <c r="Q417"/>
      <c r="R417"/>
      <c r="AB417" s="179"/>
    </row>
    <row r="418" spans="4:29">
      <c r="D418" s="1098" t="s">
        <v>721</v>
      </c>
      <c r="E418" s="1098"/>
      <c r="F418" s="1098"/>
      <c r="G418" s="1098"/>
      <c r="H418" s="1098"/>
      <c r="I418" s="1098"/>
      <c r="J418" s="1098"/>
      <c r="K418" s="1098"/>
      <c r="L418" s="1098"/>
      <c r="M418" s="1098"/>
      <c r="N418" s="1098"/>
      <c r="O418" s="1098"/>
      <c r="P418" s="1098"/>
      <c r="Q418" s="1098"/>
      <c r="R418" s="1098"/>
      <c r="T418" s="943">
        <v>0.25</v>
      </c>
      <c r="U418" s="943">
        <v>0.25</v>
      </c>
      <c r="V418" s="943">
        <v>0.25</v>
      </c>
      <c r="W418" s="943">
        <v>0.25</v>
      </c>
      <c r="X418" s="943">
        <v>0.25</v>
      </c>
      <c r="Y418" s="943">
        <v>0.25</v>
      </c>
      <c r="Z418" s="943">
        <v>0.25</v>
      </c>
      <c r="AA418" s="943">
        <v>0.25</v>
      </c>
      <c r="AB418" s="943">
        <v>0.25</v>
      </c>
      <c r="AC418" s="943">
        <v>0.25</v>
      </c>
    </row>
    <row r="419" spans="4:29">
      <c r="D419" s="1098" t="s">
        <v>722</v>
      </c>
      <c r="E419" s="1098"/>
      <c r="F419" s="1098"/>
      <c r="G419" s="1098"/>
      <c r="H419" s="1098"/>
      <c r="I419" s="1098"/>
      <c r="J419" s="1098"/>
      <c r="K419" s="1098"/>
      <c r="L419" s="1098"/>
      <c r="M419" s="1098"/>
      <c r="N419" s="1098"/>
      <c r="O419" s="1098"/>
      <c r="P419" s="1098"/>
      <c r="Q419" s="1098"/>
      <c r="R419" s="1098"/>
      <c r="T419" s="943">
        <v>-0.06</v>
      </c>
      <c r="U419" s="943">
        <v>-0.06</v>
      </c>
      <c r="V419" s="943">
        <v>-0.06</v>
      </c>
      <c r="W419" s="943">
        <v>-0.06</v>
      </c>
      <c r="X419" s="943">
        <v>-0.06</v>
      </c>
      <c r="Y419" s="943">
        <v>-0.06</v>
      </c>
      <c r="Z419" s="943">
        <v>-0.06</v>
      </c>
      <c r="AA419" s="943">
        <v>-0.06</v>
      </c>
      <c r="AB419" s="943">
        <v>-0.06</v>
      </c>
      <c r="AC419" s="943">
        <v>-0.06</v>
      </c>
    </row>
    <row r="420" spans="4:29">
      <c r="D420" s="1098" t="s">
        <v>723</v>
      </c>
      <c r="E420" s="1098"/>
      <c r="F420" s="1098"/>
      <c r="G420" s="1098"/>
      <c r="H420" s="1098"/>
      <c r="I420" s="1098"/>
      <c r="J420" s="1098"/>
      <c r="K420" s="1098"/>
      <c r="L420" s="1098"/>
      <c r="M420" s="1098"/>
      <c r="N420" s="1098"/>
      <c r="O420" s="1098"/>
      <c r="P420" s="1098"/>
      <c r="Q420" s="1098"/>
      <c r="R420" s="1098"/>
      <c r="T420" s="943">
        <v>0.81</v>
      </c>
      <c r="U420" s="943">
        <v>0.81</v>
      </c>
      <c r="V420" s="943">
        <v>0.81</v>
      </c>
      <c r="W420" s="943">
        <v>0.81</v>
      </c>
      <c r="X420" s="943">
        <v>0.81</v>
      </c>
      <c r="Y420" s="943">
        <v>0.81</v>
      </c>
      <c r="Z420" s="943">
        <v>0.81</v>
      </c>
      <c r="AA420" s="943">
        <v>0.81</v>
      </c>
      <c r="AB420" s="943">
        <v>0.81</v>
      </c>
      <c r="AC420" s="943">
        <v>0.81</v>
      </c>
    </row>
    <row r="421" spans="4:29">
      <c r="D421" s="1098" t="s">
        <v>724</v>
      </c>
      <c r="E421" s="1098"/>
      <c r="F421" s="1098"/>
      <c r="G421" s="1098"/>
      <c r="H421" s="1098"/>
      <c r="I421" s="1098"/>
      <c r="J421" s="1098"/>
      <c r="K421" s="1098"/>
      <c r="L421" s="1098"/>
      <c r="M421" s="1098"/>
      <c r="N421" s="1098"/>
      <c r="O421" s="1098"/>
      <c r="P421" s="1098"/>
      <c r="Q421" s="1098"/>
      <c r="R421" s="1098"/>
      <c r="T421" s="943">
        <v>0</v>
      </c>
      <c r="U421" s="943">
        <v>0</v>
      </c>
      <c r="V421" s="943">
        <v>0</v>
      </c>
      <c r="W421" s="943">
        <v>0</v>
      </c>
      <c r="X421" s="943">
        <v>0</v>
      </c>
      <c r="Y421" s="943">
        <v>0</v>
      </c>
      <c r="Z421" s="943">
        <v>0</v>
      </c>
      <c r="AA421" s="943">
        <v>0</v>
      </c>
      <c r="AB421" s="943">
        <v>0</v>
      </c>
      <c r="AC421" s="943">
        <v>0</v>
      </c>
    </row>
    <row r="422" spans="4:29">
      <c r="D422" s="1099" t="s">
        <v>309</v>
      </c>
      <c r="E422" s="1099"/>
      <c r="F422" s="1099"/>
      <c r="G422" s="1099"/>
      <c r="H422" s="1099"/>
      <c r="I422" s="1099"/>
      <c r="J422" s="1099"/>
      <c r="K422" s="1099"/>
      <c r="L422" s="1099"/>
      <c r="M422" s="1099"/>
      <c r="N422" s="1099"/>
      <c r="O422" s="1099"/>
      <c r="P422" s="1099"/>
      <c r="Q422" s="1099"/>
      <c r="R422" s="1099"/>
      <c r="T422" s="733">
        <f>SUM(T418:T421)</f>
        <v>1</v>
      </c>
      <c r="U422" s="733">
        <f t="shared" ref="U422:AC422" si="20">SUM(U418:U421)</f>
        <v>1</v>
      </c>
      <c r="V422" s="733">
        <f t="shared" si="20"/>
        <v>1</v>
      </c>
      <c r="W422" s="733">
        <f t="shared" si="20"/>
        <v>1</v>
      </c>
      <c r="X422" s="733">
        <f t="shared" si="20"/>
        <v>1</v>
      </c>
      <c r="Y422" s="733">
        <f t="shared" si="20"/>
        <v>1</v>
      </c>
      <c r="Z422" s="733">
        <f t="shared" si="20"/>
        <v>1</v>
      </c>
      <c r="AA422" s="733">
        <f t="shared" si="20"/>
        <v>1</v>
      </c>
      <c r="AB422" s="733">
        <f t="shared" si="20"/>
        <v>1</v>
      </c>
      <c r="AC422" s="733">
        <f t="shared" si="20"/>
        <v>1</v>
      </c>
    </row>
    <row r="423" spans="4:29">
      <c r="D423" s="121" t="s">
        <v>255</v>
      </c>
      <c r="T423" s="99" t="str">
        <f>IF(T422 = 1, "OK", "Error: should = 100%")</f>
        <v>OK</v>
      </c>
      <c r="U423" s="99" t="str">
        <f t="shared" ref="U423:AC423" si="21">IF(U422 = 1, "OK", "Error: should = 100%")</f>
        <v>OK</v>
      </c>
      <c r="V423" s="99" t="str">
        <f t="shared" si="21"/>
        <v>OK</v>
      </c>
      <c r="W423" s="99" t="str">
        <f t="shared" si="21"/>
        <v>OK</v>
      </c>
      <c r="X423" s="99" t="str">
        <f t="shared" si="21"/>
        <v>OK</v>
      </c>
      <c r="Y423" s="99" t="str">
        <f t="shared" si="21"/>
        <v>OK</v>
      </c>
      <c r="Z423" s="99" t="str">
        <f t="shared" si="21"/>
        <v>OK</v>
      </c>
      <c r="AA423" s="99" t="str">
        <f t="shared" si="21"/>
        <v>OK</v>
      </c>
      <c r="AB423" s="179" t="str">
        <f t="shared" si="21"/>
        <v>OK</v>
      </c>
      <c r="AC423" s="99" t="str">
        <f t="shared" si="21"/>
        <v>OK</v>
      </c>
    </row>
    <row r="424" spans="4:29">
      <c r="AB424" s="179"/>
    </row>
    <row r="425" spans="4:29">
      <c r="D425" s="108" t="s">
        <v>726</v>
      </c>
      <c r="E425" s="108"/>
      <c r="F425"/>
      <c r="G425"/>
      <c r="H425"/>
      <c r="I425"/>
      <c r="J425"/>
      <c r="K425"/>
      <c r="L425"/>
      <c r="M425"/>
      <c r="N425"/>
      <c r="O425"/>
      <c r="P425"/>
      <c r="Q425"/>
      <c r="R425"/>
      <c r="T425" s="536" t="s">
        <v>194</v>
      </c>
      <c r="U425" s="536" t="s">
        <v>194</v>
      </c>
      <c r="V425" s="536" t="s">
        <v>194</v>
      </c>
      <c r="W425" s="536" t="s">
        <v>194</v>
      </c>
      <c r="X425" s="536" t="s">
        <v>194</v>
      </c>
      <c r="Y425" s="536" t="s">
        <v>194</v>
      </c>
      <c r="Z425" s="536" t="s">
        <v>194</v>
      </c>
      <c r="AA425" s="536" t="s">
        <v>194</v>
      </c>
      <c r="AB425" s="536" t="s">
        <v>194</v>
      </c>
      <c r="AC425" s="536" t="s">
        <v>194</v>
      </c>
    </row>
    <row r="426" spans="4:29">
      <c r="D426" s="1098" t="s">
        <v>727</v>
      </c>
      <c r="E426" s="1098"/>
      <c r="F426" s="1098"/>
      <c r="G426" s="1098"/>
      <c r="H426" s="1098"/>
      <c r="I426" s="1098"/>
      <c r="J426" s="1098"/>
      <c r="K426" s="1098"/>
      <c r="L426" s="1098"/>
      <c r="M426" s="1098"/>
      <c r="N426" s="1098"/>
      <c r="O426" s="1098"/>
      <c r="P426" s="1098"/>
      <c r="Q426" s="1098"/>
      <c r="R426" s="1098"/>
      <c r="T426" s="943">
        <v>0.94989999999999997</v>
      </c>
      <c r="U426" s="943">
        <v>0.94989999999999997</v>
      </c>
      <c r="V426" s="943">
        <v>0.94989999999999997</v>
      </c>
      <c r="W426" s="943">
        <v>0.94989999999999997</v>
      </c>
      <c r="X426" s="943">
        <v>0.94989999999999997</v>
      </c>
      <c r="Y426" s="943">
        <v>0.94989999999999997</v>
      </c>
      <c r="Z426" s="943">
        <v>0.94989999999999997</v>
      </c>
      <c r="AA426" s="943">
        <v>0.94989999999999997</v>
      </c>
      <c r="AB426" s="943">
        <v>0.94989999999999997</v>
      </c>
      <c r="AC426" s="943">
        <v>0.94989999999999997</v>
      </c>
    </row>
    <row r="427" spans="4:29">
      <c r="D427" s="1098" t="s">
        <v>728</v>
      </c>
      <c r="E427" s="1098"/>
      <c r="F427" s="1098"/>
      <c r="G427" s="1098"/>
      <c r="H427" s="1098"/>
      <c r="I427" s="1098"/>
      <c r="J427" s="1098"/>
      <c r="K427" s="1098"/>
      <c r="L427" s="1098"/>
      <c r="M427" s="1098"/>
      <c r="N427" s="1098"/>
      <c r="O427" s="1098"/>
      <c r="P427" s="1098"/>
      <c r="Q427" s="1098"/>
      <c r="R427" s="1098"/>
      <c r="T427" s="943">
        <v>5.0099999999999999E-2</v>
      </c>
      <c r="U427" s="943">
        <v>5.0099999999999999E-2</v>
      </c>
      <c r="V427" s="943">
        <v>5.0099999999999999E-2</v>
      </c>
      <c r="W427" s="943">
        <v>5.0099999999999999E-2</v>
      </c>
      <c r="X427" s="943">
        <v>5.0099999999999999E-2</v>
      </c>
      <c r="Y427" s="943">
        <v>5.0099999999999999E-2</v>
      </c>
      <c r="Z427" s="943">
        <v>5.0099999999999999E-2</v>
      </c>
      <c r="AA427" s="943">
        <v>5.0099999999999999E-2</v>
      </c>
      <c r="AB427" s="943">
        <v>5.0099999999999999E-2</v>
      </c>
      <c r="AC427" s="943">
        <v>5.0099999999999999E-2</v>
      </c>
    </row>
    <row r="428" spans="4:29">
      <c r="D428" s="1099" t="s">
        <v>309</v>
      </c>
      <c r="E428" s="1099"/>
      <c r="F428" s="1099"/>
      <c r="G428" s="1099"/>
      <c r="H428" s="1099"/>
      <c r="I428" s="1099"/>
      <c r="J428" s="1099"/>
      <c r="K428" s="1099"/>
      <c r="L428" s="1099"/>
      <c r="M428" s="1099"/>
      <c r="N428" s="1099"/>
      <c r="O428" s="1099"/>
      <c r="P428" s="1099"/>
      <c r="Q428" s="1099"/>
      <c r="R428" s="1099"/>
      <c r="T428" s="733">
        <f t="shared" ref="T428:AC428" si="22">SUM(T426:T427)</f>
        <v>1</v>
      </c>
      <c r="U428" s="733">
        <f t="shared" si="22"/>
        <v>1</v>
      </c>
      <c r="V428" s="733">
        <f t="shared" si="22"/>
        <v>1</v>
      </c>
      <c r="W428" s="733">
        <f t="shared" si="22"/>
        <v>1</v>
      </c>
      <c r="X428" s="733">
        <f t="shared" si="22"/>
        <v>1</v>
      </c>
      <c r="Y428" s="733">
        <f t="shared" si="22"/>
        <v>1</v>
      </c>
      <c r="Z428" s="733">
        <f t="shared" si="22"/>
        <v>1</v>
      </c>
      <c r="AA428" s="733">
        <f t="shared" si="22"/>
        <v>1</v>
      </c>
      <c r="AB428" s="733">
        <f t="shared" si="22"/>
        <v>1</v>
      </c>
      <c r="AC428" s="733">
        <f t="shared" si="22"/>
        <v>1</v>
      </c>
    </row>
    <row r="429" spans="4:29">
      <c r="D429" s="121" t="s">
        <v>255</v>
      </c>
      <c r="T429" s="99" t="str">
        <f>IF(T428 = 1, "OK", "Error: should = 100%")</f>
        <v>OK</v>
      </c>
      <c r="U429" s="99" t="str">
        <f t="shared" ref="U429:AC429" si="23">IF(U428 = 1, "OK", "Error: should = 100%")</f>
        <v>OK</v>
      </c>
      <c r="V429" s="99" t="str">
        <f t="shared" si="23"/>
        <v>OK</v>
      </c>
      <c r="W429" s="99" t="str">
        <f t="shared" si="23"/>
        <v>OK</v>
      </c>
      <c r="X429" s="99" t="str">
        <f t="shared" si="23"/>
        <v>OK</v>
      </c>
      <c r="Y429" s="99" t="str">
        <f t="shared" si="23"/>
        <v>OK</v>
      </c>
      <c r="Z429" s="99" t="str">
        <f t="shared" si="23"/>
        <v>OK</v>
      </c>
      <c r="AA429" s="99" t="str">
        <f t="shared" si="23"/>
        <v>OK</v>
      </c>
      <c r="AB429" s="179" t="str">
        <f t="shared" si="23"/>
        <v>OK</v>
      </c>
      <c r="AC429" s="99" t="str">
        <f t="shared" si="23"/>
        <v>OK</v>
      </c>
    </row>
    <row r="430" spans="4:29">
      <c r="AB430" s="179"/>
    </row>
    <row r="431" spans="4:29">
      <c r="D431" s="108" t="s">
        <v>729</v>
      </c>
      <c r="E431" s="108"/>
      <c r="F431"/>
      <c r="G431"/>
      <c r="H431"/>
      <c r="I431"/>
      <c r="J431"/>
      <c r="K431"/>
      <c r="L431"/>
      <c r="M431"/>
      <c r="N431"/>
      <c r="O431"/>
      <c r="P431"/>
      <c r="Q431"/>
      <c r="R431"/>
      <c r="AB431" s="179"/>
    </row>
    <row r="432" spans="4:29" ht="12.75" customHeight="1">
      <c r="D432" s="1098" t="s">
        <v>727</v>
      </c>
      <c r="E432" s="1098"/>
      <c r="F432" s="1098"/>
      <c r="G432" s="1098"/>
      <c r="H432" s="1098"/>
      <c r="I432" s="1098"/>
      <c r="J432" s="1098"/>
      <c r="K432" s="1098"/>
      <c r="L432" s="1098"/>
      <c r="M432" s="1098"/>
      <c r="N432" s="1098"/>
      <c r="O432" s="1098"/>
      <c r="P432" s="1098"/>
      <c r="Q432" s="1098"/>
      <c r="R432" s="1098"/>
      <c r="T432" s="943">
        <v>1.0032786885245901</v>
      </c>
      <c r="U432" s="943">
        <v>1.0032786885245901</v>
      </c>
      <c r="V432" s="943">
        <v>1.0032786885245901</v>
      </c>
      <c r="W432" s="943">
        <v>1.0032786885245901</v>
      </c>
      <c r="X432" s="943">
        <v>1.0032786885245901</v>
      </c>
      <c r="Y432" s="943">
        <v>1.0032786885245901</v>
      </c>
      <c r="Z432" s="943">
        <v>1.0032786885245901</v>
      </c>
      <c r="AA432" s="943">
        <v>1.0032786885245901</v>
      </c>
      <c r="AB432" s="943">
        <v>1.0032786885245901</v>
      </c>
      <c r="AC432" s="943">
        <v>1.0032786885245901</v>
      </c>
    </row>
    <row r="433" spans="2:38" ht="12.75" customHeight="1">
      <c r="D433" s="1098" t="s">
        <v>728</v>
      </c>
      <c r="E433" s="1098"/>
      <c r="F433" s="1098"/>
      <c r="G433" s="1098"/>
      <c r="H433" s="1098"/>
      <c r="I433" s="1098"/>
      <c r="J433" s="1098"/>
      <c r="K433" s="1098"/>
      <c r="L433" s="1098"/>
      <c r="M433" s="1098"/>
      <c r="N433" s="1098"/>
      <c r="O433" s="1098"/>
      <c r="P433" s="1098"/>
      <c r="Q433" s="1098"/>
      <c r="R433" s="1098"/>
      <c r="T433" s="943">
        <v>-3.2786885245901639E-3</v>
      </c>
      <c r="U433" s="943">
        <v>-3.2786885245901639E-3</v>
      </c>
      <c r="V433" s="943">
        <v>-3.2786885245901639E-3</v>
      </c>
      <c r="W433" s="943">
        <v>-3.2786885245901639E-3</v>
      </c>
      <c r="X433" s="943">
        <v>-3.2786885245901639E-3</v>
      </c>
      <c r="Y433" s="943">
        <v>-3.2786885245901639E-3</v>
      </c>
      <c r="Z433" s="943">
        <v>-3.2786885245901639E-3</v>
      </c>
      <c r="AA433" s="943">
        <v>-3.2786885245901639E-3</v>
      </c>
      <c r="AB433" s="943">
        <v>-3.2786885245901639E-3</v>
      </c>
      <c r="AC433" s="943">
        <v>-3.2786885245901639E-3</v>
      </c>
    </row>
    <row r="434" spans="2:38">
      <c r="D434" s="1100"/>
      <c r="E434" s="1100"/>
      <c r="F434" s="1100"/>
      <c r="G434" s="1100"/>
      <c r="H434" s="1100"/>
      <c r="I434" s="1100"/>
      <c r="J434" s="1100"/>
      <c r="K434" s="1100"/>
      <c r="L434" s="1100"/>
      <c r="M434" s="1100"/>
      <c r="N434" s="1100"/>
      <c r="O434" s="1100"/>
      <c r="P434" s="1100"/>
      <c r="Q434" s="1100"/>
      <c r="R434" s="1100"/>
    </row>
    <row r="435" spans="2:38">
      <c r="D435" s="121" t="s">
        <v>255</v>
      </c>
      <c r="T435" s="270" t="str">
        <f>IF(T434 = 1, "OK", "Error: should = 100%")</f>
        <v>Error: should = 100%</v>
      </c>
      <c r="U435" s="270" t="str">
        <f t="shared" ref="U435:AC435" si="24">IF(U434 = 1, "OK", "Error: should = 100%")</f>
        <v>Error: should = 100%</v>
      </c>
      <c r="V435" s="270" t="str">
        <f t="shared" si="24"/>
        <v>Error: should = 100%</v>
      </c>
      <c r="W435" s="270" t="str">
        <f t="shared" si="24"/>
        <v>Error: should = 100%</v>
      </c>
      <c r="X435" s="270" t="str">
        <f t="shared" si="24"/>
        <v>Error: should = 100%</v>
      </c>
      <c r="Y435" s="270" t="str">
        <f t="shared" si="24"/>
        <v>Error: should = 100%</v>
      </c>
      <c r="Z435" s="270" t="str">
        <f t="shared" si="24"/>
        <v>Error: should = 100%</v>
      </c>
      <c r="AA435" s="270" t="str">
        <f t="shared" si="24"/>
        <v>Error: should = 100%</v>
      </c>
      <c r="AB435" s="270" t="str">
        <f t="shared" si="24"/>
        <v>Error: should = 100%</v>
      </c>
      <c r="AC435" s="270" t="str">
        <f t="shared" si="24"/>
        <v>Error: should = 100%</v>
      </c>
    </row>
    <row r="436" spans="2:38">
      <c r="D436" s="121"/>
    </row>
    <row r="438" spans="2:38" s="113" customFormat="1" ht="15" customHeight="1">
      <c r="B438" s="202" t="s">
        <v>608</v>
      </c>
      <c r="C438" s="202"/>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c r="AD438" s="112"/>
      <c r="AE438" s="112"/>
      <c r="AF438" s="112"/>
      <c r="AG438" s="112"/>
      <c r="AH438" s="112"/>
      <c r="AI438" s="112"/>
      <c r="AJ438" s="112"/>
      <c r="AK438" s="112"/>
      <c r="AL438" s="112"/>
    </row>
  </sheetData>
  <dataConsolidate/>
  <mergeCells count="198">
    <mergeCell ref="D121:N121"/>
    <mergeCell ref="D122:N122"/>
    <mergeCell ref="C167:Q167"/>
    <mergeCell ref="C183:Q183"/>
    <mergeCell ref="C182:Q182"/>
    <mergeCell ref="C181:Q181"/>
    <mergeCell ref="C171:Q171"/>
    <mergeCell ref="C170:Q170"/>
    <mergeCell ref="C169:Q169"/>
    <mergeCell ref="D133:N133"/>
    <mergeCell ref="D139:N139"/>
    <mergeCell ref="D140:N140"/>
    <mergeCell ref="C180:Q180"/>
    <mergeCell ref="C179:Q179"/>
    <mergeCell ref="C174:Q174"/>
    <mergeCell ref="C173:Q173"/>
    <mergeCell ref="C172:Q172"/>
    <mergeCell ref="C175:Q175"/>
    <mergeCell ref="C176:Q176"/>
    <mergeCell ref="C177:Q177"/>
    <mergeCell ref="T7:X7"/>
    <mergeCell ref="Y7:AC7"/>
    <mergeCell ref="C268:Q268"/>
    <mergeCell ref="C277:Q277"/>
    <mergeCell ref="C227:Q227"/>
    <mergeCell ref="C228:Q228"/>
    <mergeCell ref="C229:Q229"/>
    <mergeCell ref="C265:Q265"/>
    <mergeCell ref="C266:Q266"/>
    <mergeCell ref="C267:Q267"/>
    <mergeCell ref="C61:S61"/>
    <mergeCell ref="C96:S96"/>
    <mergeCell ref="C111:M111"/>
    <mergeCell ref="C126:Q126"/>
    <mergeCell ref="D123:N123"/>
    <mergeCell ref="D124:N124"/>
    <mergeCell ref="D125:N125"/>
    <mergeCell ref="D134:N134"/>
    <mergeCell ref="D135:N135"/>
    <mergeCell ref="C142:Q142"/>
    <mergeCell ref="D117:N117"/>
    <mergeCell ref="D118:N118"/>
    <mergeCell ref="D119:N119"/>
    <mergeCell ref="D120:N120"/>
    <mergeCell ref="D331:Q331"/>
    <mergeCell ref="C282:Q282"/>
    <mergeCell ref="F306:N307"/>
    <mergeCell ref="F308:N308"/>
    <mergeCell ref="F309:N309"/>
    <mergeCell ref="F310:N310"/>
    <mergeCell ref="F311:N311"/>
    <mergeCell ref="C296:Q296"/>
    <mergeCell ref="C314:Q314"/>
    <mergeCell ref="F291:N291"/>
    <mergeCell ref="F292:N292"/>
    <mergeCell ref="F293:N293"/>
    <mergeCell ref="C294:Q294"/>
    <mergeCell ref="C297:Q297"/>
    <mergeCell ref="D410:R410"/>
    <mergeCell ref="D411:R411"/>
    <mergeCell ref="D412:R412"/>
    <mergeCell ref="D434:R434"/>
    <mergeCell ref="D414:R414"/>
    <mergeCell ref="D418:R418"/>
    <mergeCell ref="D419:R419"/>
    <mergeCell ref="D420:R420"/>
    <mergeCell ref="D421:R421"/>
    <mergeCell ref="D422:R422"/>
    <mergeCell ref="D426:R426"/>
    <mergeCell ref="D427:R427"/>
    <mergeCell ref="D428:R428"/>
    <mergeCell ref="D432:R432"/>
    <mergeCell ref="D433:R433"/>
    <mergeCell ref="D413:R413"/>
    <mergeCell ref="D389:R389"/>
    <mergeCell ref="D400:R400"/>
    <mergeCell ref="D383:R383"/>
    <mergeCell ref="D385:R385"/>
    <mergeCell ref="D399:R399"/>
    <mergeCell ref="D352:Q352"/>
    <mergeCell ref="D368:Q368"/>
    <mergeCell ref="D369:Q369"/>
    <mergeCell ref="D384:R384"/>
    <mergeCell ref="D395:R395"/>
    <mergeCell ref="D396:R396"/>
    <mergeCell ref="D397:R397"/>
    <mergeCell ref="D398:R398"/>
    <mergeCell ref="D373:Q373"/>
    <mergeCell ref="D374:Q374"/>
    <mergeCell ref="D375:Q375"/>
    <mergeCell ref="D376:Q376"/>
    <mergeCell ref="D390:R390"/>
    <mergeCell ref="D391:R391"/>
    <mergeCell ref="D392:R392"/>
    <mergeCell ref="D393:R393"/>
    <mergeCell ref="D394:R394"/>
    <mergeCell ref="D371:Q371"/>
    <mergeCell ref="C353:Q353"/>
    <mergeCell ref="D388:R388"/>
    <mergeCell ref="C354:Q354"/>
    <mergeCell ref="C355:Q355"/>
    <mergeCell ref="C356:Q356"/>
    <mergeCell ref="C357:Q357"/>
    <mergeCell ref="C358:Q358"/>
    <mergeCell ref="C359:Q359"/>
    <mergeCell ref="C319:Q319"/>
    <mergeCell ref="C316:Q316"/>
    <mergeCell ref="C317:Q317"/>
    <mergeCell ref="C339:Q339"/>
    <mergeCell ref="D325:Q325"/>
    <mergeCell ref="D334:Q334"/>
    <mergeCell ref="D336:Q336"/>
    <mergeCell ref="C337:Q337"/>
    <mergeCell ref="D323:Q323"/>
    <mergeCell ref="D387:R387"/>
    <mergeCell ref="C360:Q360"/>
    <mergeCell ref="D386:R386"/>
    <mergeCell ref="D335:Q335"/>
    <mergeCell ref="D324:Q324"/>
    <mergeCell ref="C318:Q318"/>
    <mergeCell ref="D326:Q326"/>
    <mergeCell ref="D327:Q327"/>
    <mergeCell ref="J187:R187"/>
    <mergeCell ref="F147:F148"/>
    <mergeCell ref="D136:N136"/>
    <mergeCell ref="D137:N137"/>
    <mergeCell ref="D138:N138"/>
    <mergeCell ref="D141:N141"/>
    <mergeCell ref="D377:Q377"/>
    <mergeCell ref="D370:Q370"/>
    <mergeCell ref="D380:Q380"/>
    <mergeCell ref="D378:Q378"/>
    <mergeCell ref="D379:Q379"/>
    <mergeCell ref="D348:Q348"/>
    <mergeCell ref="D372:Q372"/>
    <mergeCell ref="D349:Q349"/>
    <mergeCell ref="D350:Q350"/>
    <mergeCell ref="D351:Q351"/>
    <mergeCell ref="C340:Q340"/>
    <mergeCell ref="C341:Q341"/>
    <mergeCell ref="C342:Q342"/>
    <mergeCell ref="C343:Q343"/>
    <mergeCell ref="C344:Q344"/>
    <mergeCell ref="C178:Q178"/>
    <mergeCell ref="C230:Q230"/>
    <mergeCell ref="C231:Q231"/>
    <mergeCell ref="C232:Q232"/>
    <mergeCell ref="C233:Q233"/>
    <mergeCell ref="C234:Q234"/>
    <mergeCell ref="C235:Q235"/>
    <mergeCell ref="C236:Q236"/>
    <mergeCell ref="C237:Q237"/>
    <mergeCell ref="F188:F189"/>
    <mergeCell ref="C238:Q238"/>
    <mergeCell ref="C239:Q239"/>
    <mergeCell ref="C240:Q240"/>
    <mergeCell ref="C241:Q241"/>
    <mergeCell ref="C242:Q242"/>
    <mergeCell ref="C243:Q243"/>
    <mergeCell ref="C244:Q244"/>
    <mergeCell ref="C245:Q245"/>
    <mergeCell ref="C246:Q246"/>
    <mergeCell ref="C247:Q247"/>
    <mergeCell ref="C248:Q248"/>
    <mergeCell ref="D332:Q332"/>
    <mergeCell ref="D333:Q333"/>
    <mergeCell ref="C256:Q256"/>
    <mergeCell ref="C257:Q257"/>
    <mergeCell ref="C258:Q258"/>
    <mergeCell ref="C259:Q259"/>
    <mergeCell ref="C260:Q260"/>
    <mergeCell ref="C261:Q261"/>
    <mergeCell ref="C262:Q262"/>
    <mergeCell ref="C263:Q263"/>
    <mergeCell ref="C264:Q264"/>
    <mergeCell ref="F272:F273"/>
    <mergeCell ref="F290:N290"/>
    <mergeCell ref="C298:Q298"/>
    <mergeCell ref="C299:Q299"/>
    <mergeCell ref="C300:Q300"/>
    <mergeCell ref="C315:Q315"/>
    <mergeCell ref="C279:Q279"/>
    <mergeCell ref="F288:N289"/>
    <mergeCell ref="C283:Q283"/>
    <mergeCell ref="C280:Q280"/>
    <mergeCell ref="D328:Q328"/>
    <mergeCell ref="D329:Q329"/>
    <mergeCell ref="D330:Q330"/>
    <mergeCell ref="C281:Q281"/>
    <mergeCell ref="C301:Q301"/>
    <mergeCell ref="C312:Q312"/>
    <mergeCell ref="C249:Q249"/>
    <mergeCell ref="C250:Q250"/>
    <mergeCell ref="C251:Q251"/>
    <mergeCell ref="C252:Q252"/>
    <mergeCell ref="C253:Q253"/>
    <mergeCell ref="C254:Q254"/>
    <mergeCell ref="C255:Q255"/>
  </mergeCells>
  <phoneticPr fontId="265" type="noConversion"/>
  <conditionalFormatting sqref="B87:B95 T416:AC416 T321:AC321 B117:B125 B102:B111 T13:AC21 T228:AC268 T190:AC225 T274:AC277 T290:AC294 T308:AC312 T324:AC337 T349:AC353">
    <cfRule type="cellIs" priority="181" stopIfTrue="1" operator="greaterThanOrEqual">
      <formula>0</formula>
    </cfRule>
  </conditionalFormatting>
  <conditionalFormatting sqref="T403:AC403">
    <cfRule type="cellIs" priority="179" stopIfTrue="1" operator="greaterThanOrEqual">
      <formula>0</formula>
    </cfRule>
  </conditionalFormatting>
  <conditionalFormatting sqref="B66:B81">
    <cfRule type="cellIs" priority="177" stopIfTrue="1" operator="greaterThanOrEqual">
      <formula>0</formula>
    </cfRule>
  </conditionalFormatting>
  <conditionalFormatting sqref="T346:AC346">
    <cfRule type="cellIs" priority="176" stopIfTrue="1" operator="greaterThanOrEqual">
      <formula>0</formula>
    </cfRule>
  </conditionalFormatting>
  <conditionalFormatting sqref="B96">
    <cfRule type="cellIs" priority="174" stopIfTrue="1" operator="greaterThanOrEqual">
      <formula>0</formula>
    </cfRule>
  </conditionalFormatting>
  <conditionalFormatting sqref="B126">
    <cfRule type="cellIs" priority="170" stopIfTrue="1" operator="greaterThanOrEqual">
      <formula>0</formula>
    </cfRule>
  </conditionalFormatting>
  <conditionalFormatting sqref="T61:AC61">
    <cfRule type="cellIs" priority="172" stopIfTrue="1" operator="greaterThanOrEqual">
      <formula>0</formula>
    </cfRule>
  </conditionalFormatting>
  <conditionalFormatting sqref="B142">
    <cfRule type="cellIs" priority="169" stopIfTrue="1" operator="greaterThanOrEqual">
      <formula>0</formula>
    </cfRule>
  </conditionalFormatting>
  <conditionalFormatting sqref="C111">
    <cfRule type="cellIs" priority="162" stopIfTrue="1" operator="greaterThanOrEqual">
      <formula>0</formula>
    </cfRule>
  </conditionalFormatting>
  <conditionalFormatting sqref="C183">
    <cfRule type="cellIs" priority="166" stopIfTrue="1" operator="greaterThanOrEqual">
      <formula>0</formula>
    </cfRule>
  </conditionalFormatting>
  <conditionalFormatting sqref="C96">
    <cfRule type="cellIs" priority="163" stopIfTrue="1" operator="greaterThanOrEqual">
      <formula>0</formula>
    </cfRule>
  </conditionalFormatting>
  <conditionalFormatting sqref="C126">
    <cfRule type="cellIs" priority="146" stopIfTrue="1" operator="greaterThanOrEqual">
      <formula>0</formula>
    </cfRule>
  </conditionalFormatting>
  <conditionalFormatting sqref="C167">
    <cfRule type="cellIs" priority="124" stopIfTrue="1" operator="greaterThanOrEqual">
      <formula>0</formula>
    </cfRule>
  </conditionalFormatting>
  <conditionalFormatting sqref="C294">
    <cfRule type="cellIs" priority="113" stopIfTrue="1" operator="greaterThanOrEqual">
      <formula>0</formula>
    </cfRule>
  </conditionalFormatting>
  <conditionalFormatting sqref="C337">
    <cfRule type="cellIs" priority="104" stopIfTrue="1" operator="greaterThanOrEqual">
      <formula>0</formula>
    </cfRule>
  </conditionalFormatting>
  <conditionalFormatting sqref="C353">
    <cfRule type="cellIs" priority="102" stopIfTrue="1" operator="greaterThanOrEqual">
      <formula>0</formula>
    </cfRule>
  </conditionalFormatting>
  <conditionalFormatting sqref="C312">
    <cfRule type="cellIs" priority="106" stopIfTrue="1" operator="greaterThanOrEqual">
      <formula>0</formula>
    </cfRule>
  </conditionalFormatting>
  <conditionalFormatting sqref="T423:AC423 T415:AC415 T429:AC429 T435:AC435">
    <cfRule type="expression" dxfId="33" priority="100">
      <formula>T414&lt;&gt;1</formula>
    </cfRule>
  </conditionalFormatting>
  <conditionalFormatting sqref="B62">
    <cfRule type="cellIs" priority="10" stopIfTrue="1" operator="greaterThanOrEqual">
      <formula>0</formula>
    </cfRule>
  </conditionalFormatting>
  <conditionalFormatting sqref="B183">
    <cfRule type="cellIs" priority="9" stopIfTrue="1" operator="greaterThanOrEqual">
      <formula>0</formula>
    </cfRule>
  </conditionalFormatting>
  <conditionalFormatting sqref="T27:AC60">
    <cfRule type="cellIs" priority="8" stopIfTrue="1" operator="greaterThanOrEqual">
      <formula>0</formula>
    </cfRule>
  </conditionalFormatting>
  <conditionalFormatting sqref="T66:AC81">
    <cfRule type="cellIs" priority="7" stopIfTrue="1" operator="greaterThanOrEqual">
      <formula>0</formula>
    </cfRule>
  </conditionalFormatting>
  <conditionalFormatting sqref="T87:AC96">
    <cfRule type="cellIs" priority="6" stopIfTrue="1" operator="greaterThanOrEqual">
      <formula>0</formula>
    </cfRule>
  </conditionalFormatting>
  <conditionalFormatting sqref="T102:AC111">
    <cfRule type="cellIs" priority="5" stopIfTrue="1" operator="greaterThanOrEqual">
      <formula>0</formula>
    </cfRule>
  </conditionalFormatting>
  <conditionalFormatting sqref="T117:AC126">
    <cfRule type="cellIs" priority="4" stopIfTrue="1" operator="greaterThanOrEqual">
      <formula>0</formula>
    </cfRule>
  </conditionalFormatting>
  <conditionalFormatting sqref="T133:AC142">
    <cfRule type="cellIs" priority="3" stopIfTrue="1" operator="greaterThanOrEqual">
      <formula>0</formula>
    </cfRule>
  </conditionalFormatting>
  <conditionalFormatting sqref="T149:AC167">
    <cfRule type="cellIs" priority="2" stopIfTrue="1" operator="greaterThanOrEqual">
      <formula>0</formula>
    </cfRule>
  </conditionalFormatting>
  <conditionalFormatting sqref="T384:AC399">
    <cfRule type="cellIs" priority="1" stopIfTrue="1" operator="greaterThanOrEqual">
      <formula>0</formula>
    </cfRule>
  </conditionalFormatting>
  <dataValidations xWindow="2494" yWindow="1341" count="6">
    <dataValidation type="list" allowBlank="1" showInputMessage="1" showErrorMessage="1" errorTitle="Bond Type" error="Please select from available options._x000a__x000a_Alternatively, new inputs can be added from the data tab" promptTitle="Bond Type" prompt="Select bond type from drop down options" sqref="G105:G110" xr:uid="{00000000-0002-0000-0B00-000000000000}">
      <formula1>$B$343:$B$345</formula1>
    </dataValidation>
    <dataValidation type="list" allowBlank="1" showInputMessage="1" showErrorMessage="1" promptTitle="Rank" prompt="Select payment rank from available options" sqref="H105:H110" xr:uid="{00000000-0002-0000-0B00-000001000000}">
      <formula1>$B$368:$B$370</formula1>
    </dataValidation>
    <dataValidation type="list" allowBlank="1" showInputMessage="1" showErrorMessage="1" promptTitle="Reference Rate" prompt="Select reference rate from available options" sqref="I105:I110" xr:uid="{00000000-0002-0000-0B00-000002000000}">
      <formula1>$B$349:$B$357</formula1>
    </dataValidation>
    <dataValidation type="list" allowBlank="1" showInputMessage="1" showErrorMessage="1" errorTitle="Original Currency" error="Select from available options._x000a__x000a_Alternatively, new currencies can be added in to the Data tab" promptTitle="Original Currency" prompt="Select from available options" sqref="K105:K110 K88:K95" xr:uid="{00000000-0002-0000-0B00-000003000000}">
      <formula1>$B$360:$B$365</formula1>
    </dataValidation>
    <dataValidation type="list" allowBlank="1" showInputMessage="1" showErrorMessage="1" promptTitle="Special Features" prompt="Choose from available options" sqref="P88:P95" xr:uid="{00000000-0002-0000-0B00-000004000000}">
      <formula1>$B$378:$B$381</formula1>
    </dataValidation>
    <dataValidation type="list" allowBlank="1" showInputMessage="1" showErrorMessage="1" promptTitle="Counterparty" prompt="Select counterparty from available options._x000a__x000a_Alternatively, additional options can be included in the Data tab" sqref="R88:R95 Q290:Q293 Q117:Q125 Q133:Q141 Q276" xr:uid="{00000000-0002-0000-0B00-000005000000}">
      <formula1>$B$384:$B$387</formula1>
    </dataValidation>
  </dataValidations>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&amp;L&amp;"Calibri"&amp;11&amp;K000000&amp;T
&amp;D&amp;C_x000D_&amp;1#&amp;"Calibri"&amp;10&amp;K000000 OFFICIAL-InternalOnly&amp;R&amp;P
&amp;L&amp;"Calibri"&amp;11&amp;K000000&amp;T
&amp;D</oddFooter>
  </headerFooter>
  <rowBreaks count="1" manualBreakCount="1">
    <brk id="285" max="38" man="1"/>
  </rowBreaks>
  <customProperties>
    <customPr name="EpmWorksheetKeyString_GUID" r:id="rId2"/>
  </customProperties>
  <ignoredErrors>
    <ignoredError sqref="G35:I35 P60 C68:F68 G60:I60 G36:I36 G38:I38 G154:G156 C183:Q183 C226:F226 I226:J226 D267:Q267 T276:AC276 D281:Q281 E336:Q336 T414:AC417 P159:P160 G158 G160:G162 G164 P162:P163 Q153 G27:I27 G28:I28 G29:I29 G30:I30 G31:I31 G32:I32 G33:I33 G34:I34 G37:I37 G39:I39 G40:I40 G41:I41 G42:I42 G43:I43 G44:I44 G45:I45 G46:I46 G47:I47 G48:I48 G49:I49 G50:I50 G51:I51 G52:I52 G53:I53 G54:I54 G55:I55 G56:I56 G57:I57 G58:I58 G59:I59 K27 P27 K28 P28 K29 P29 K30 P30 K31 P31 K32 P32 K33 P33 K34 P34 K35 P35 P36 P37 P38 K39 P39 K40 P40 K41 P41 K42 P42 K43 P43 K44 P44 K45 P45 K46 P46 K47 P47 K48 P48 K49 P49 K50 P50 K51 P51 K52 P52 K53 P53 K54 P54 K55 P55 K56 P56 K57 P57 K58 P58 K59 P59 K60 C70:F70 D170:Q170 D171:Q171 D172:Q172 D173:Q173 D174:Q174 D175:Q175 D176:Q176 D177:Q177 D178:Q178 D179:Q179 D180:Q180 D181:Q181 D182:Q182 D228:Q228 D229:Q229 D230:Q230 D231:Q231 D232:Q232 D233:Q233 D234:Q234 D235:Q235 D236:Q236 D237:Q237 D238:Q238 D239:Q239 D240:Q240 D241:Q241 D242:Q242 D243:Q243 D244:Q244 D245:Q245 D246:Q246 D247:Q247 D248:Q248 D249:Q249 D250:Q250 D251:Q251 D252:Q252 D253:Q253 D254:Q254 D255:Q255 D256:Q256 D257:Q257 D258:Q258 D259:Q259 D260:Q260 D261:Q261 D262:Q262 D263:Q263 D264:Q264 D265:Q265 D266:Q266 D280:Q280 E324:Q324 E325:Q325 E326:Q326 E327:Q327 E328:Q328 E329:Q329 E330:Q330 E331:Q331 E332:Q332 E333:Q333 E334:Q334 E335:Q335 T422:AC425 T428:AC431" unlockedFormula="1"/>
  </ignoredErrors>
  <drawing r:id="rId3"/>
  <legacyDrawingHF r:id="rId4"/>
  <extLst>
    <ext xmlns:x14="http://schemas.microsoft.com/office/spreadsheetml/2009/9/main" uri="{CCE6A557-97BC-4b89-ADB6-D9C93CAAB3DF}">
      <x14:dataValidations xmlns:xm="http://schemas.microsoft.com/office/excel/2006/main" xWindow="2494" yWindow="1341" count="16">
        <x14:dataValidation type="list" allowBlank="1" showInputMessage="1" showErrorMessage="1" promptTitle="Pay leg type" prompt="Select from available options" xr:uid="{00000000-0002-0000-0B00-000006000000}">
          <x14:formula1>
            <xm:f>Data!$B$268:$B$271</xm:f>
          </x14:formula1>
          <xm:sqref>N149:N166</xm:sqref>
        </x14:dataValidation>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B00-000007000000}">
          <x14:formula1>
            <xm:f>Data!$B$268:$B$270</xm:f>
          </x14:formula1>
          <xm:sqref>G88:G95</xm:sqref>
        </x14:dataValidation>
        <x14:dataValidation type="list" allowBlank="1" showInputMessage="1" showErrorMessage="1" promptTitle="Rank" prompt="Select payment rank from available options" xr:uid="{00000000-0002-0000-0B00-000008000000}">
          <x14:formula1>
            <xm:f>Data!$B$293:$B$295</xm:f>
          </x14:formula1>
          <xm:sqref>H27:H60 H87:H95 H102:H104 H66:H81</xm:sqref>
        </x14:dataValidation>
        <x14:dataValidation type="list" allowBlank="1" showInputMessage="1" showErrorMessage="1" promptTitle="Reference Rate" prompt="Select reference rate from available options" xr:uid="{00000000-0002-0000-0B00-000009000000}">
          <x14:formula1>
            <xm:f>Data!$B$274:$B$282</xm:f>
          </x14:formula1>
          <xm:sqref>I88:I95</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B00-00000A000000}">
          <x14:formula1>
            <xm:f>Data!$B$285:$B$290</xm:f>
          </x14:formula1>
          <xm:sqref>G149:H166 G274:H276</xm:sqref>
        </x14:dataValidation>
        <x14:dataValidation type="list" allowBlank="1" showInputMessage="1" showErrorMessage="1" promptTitle="Counterparty" prompt="Select counterparty from available options._x000a__x000a_Alternatively, additional options can be included in the Data tab" xr:uid="{00000000-0002-0000-0B00-00000B000000}">
          <x14:formula1>
            <xm:f>Data!$B$309:$B$323</xm:f>
          </x14:formula1>
          <xm:sqref>Q308:Q311</xm:sqref>
        </x14:dataValidation>
        <x14:dataValidation type="list" allowBlank="1" showInputMessage="1" showErrorMessage="1" promptTitle="Pay leg type" prompt="Select from available options" xr:uid="{00000000-0002-0000-0B00-00000C000000}">
          <x14:formula1>
            <xm:f>Data!$B$326:$B$328</xm:f>
          </x14:formula1>
          <xm:sqref>N274:N276</xm:sqref>
        </x14:dataValidation>
        <x14:dataValidation type="list" allowBlank="1" showInputMessage="1" showErrorMessage="1" xr:uid="{00000000-0002-0000-0B00-00000D000000}">
          <x14:formula1>
            <xm:f>Data!$B$268:$B$271</xm:f>
          </x14:formula1>
          <xm:sqref>K149:K166 K190:K225 N190:N225 G81 G27:G60 K274:K276</xm:sqref>
        </x14:dataValidation>
        <x14:dataValidation type="list" allowBlank="1" showInputMessage="1" showErrorMessage="1" xr:uid="{00000000-0002-0000-0B00-00000E000000}">
          <x14:formula1>
            <xm:f>Data!$B$274:$B$281</xm:f>
          </x14:formula1>
          <xm:sqref>M274:M276 P274:P276 I81 M224:M225 M149:M166 I57:I60 M190:M217 P190:P206 P218:P225</xm:sqref>
        </x14:dataValidation>
        <x14:dataValidation type="list" allowBlank="1" showInputMessage="1" showErrorMessage="1" xr:uid="{00000000-0002-0000-0B00-00000F000000}">
          <x14:formula1>
            <xm:f>Data!$B$285:$B$290</xm:f>
          </x14:formula1>
          <xm:sqref>G190:H225</xm:sqref>
        </x14:dataValidation>
        <x14:dataValidation type="list" allowBlank="1" showInputMessage="1" showErrorMessage="1" promptTitle="Bond Type" prompt="Select bond type from drop down options" xr:uid="{00000000-0002-0000-0B00-000010000000}">
          <x14:formula1>
            <xm:f>Data!$B$268:$B$271</xm:f>
          </x14:formula1>
          <xm:sqref>G87 G102:G104 G66:G80</xm:sqref>
        </x14:dataValidation>
        <x14:dataValidation type="list" allowBlank="1" showInputMessage="1" showErrorMessage="1" promptTitle="Reference Rate" prompt="Select reference rate from available options" xr:uid="{00000000-0002-0000-0B00-000011000000}">
          <x14:formula1>
            <xm:f>Data!$B$274:$B$281</xm:f>
          </x14:formula1>
          <xm:sqref>I66:I80 I27:I56 I87 I102:I104</xm:sqref>
        </x14:dataValidation>
        <x14:dataValidation type="list" allowBlank="1" showInputMessage="1" showErrorMessage="1" promptTitle="Original Currency" prompt="Select from available options" xr:uid="{00000000-0002-0000-0B00-000012000000}">
          <x14:formula1>
            <xm:f>Data!$B$285:$B$290</xm:f>
          </x14:formula1>
          <xm:sqref>K87 K66:K81 K102:K104 K27:K60</xm:sqref>
        </x14:dataValidation>
        <x14:dataValidation type="list" allowBlank="1" showInputMessage="1" showErrorMessage="1" promptTitle="Special Features" prompt="Choose from available options" xr:uid="{00000000-0002-0000-0B00-000013000000}">
          <x14:formula1>
            <xm:f>Data!$B$303:$B$305</xm:f>
          </x14:formula1>
          <xm:sqref>P87 P66:P81 P27:P60</xm:sqref>
        </x14:dataValidation>
        <x14:dataValidation type="list" allowBlank="1" showInputMessage="1" showErrorMessage="1" xr:uid="{10EEDAE9-C48A-4786-A729-E9CF5D4F75DC}">
          <x14:formula1>
            <xm:f>Data!$B$273:$B$282</xm:f>
          </x14:formula1>
          <xm:sqref>P207:P217 M218:M223 P149:P166</xm:sqref>
        </x14:dataValidation>
        <x14:dataValidation type="list" allowBlank="1" showInputMessage="1" showErrorMessage="1" xr:uid="{DF364DEF-62C5-4D9D-B354-29D22C9380EE}">
          <x14:formula1>
            <xm:f>Data!$B$309:$B$323</xm:f>
          </x14:formula1>
          <xm:sqref>Q149:Q166 Q190:Q225 Q274:Q275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CC"/>
    <pageSetUpPr fitToPage="1"/>
  </sheetPr>
  <dimension ref="A1:R64"/>
  <sheetViews>
    <sheetView showGridLines="0" zoomScaleNormal="100" workbookViewId="0">
      <pane ySplit="7" topLeftCell="A8" activePane="bottomLeft" state="frozen"/>
      <selection activeCell="B3" sqref="B3:F3"/>
      <selection pane="bottomLeft"/>
    </sheetView>
  </sheetViews>
  <sheetFormatPr defaultRowHeight="13.5"/>
  <cols>
    <col min="1" max="1" width="8.3828125" customWidth="1"/>
    <col min="2" max="2" width="52.15234375" bestFit="1" customWidth="1"/>
    <col min="3" max="3" width="4.23046875" customWidth="1"/>
    <col min="4" max="4" width="14.15234375" style="54" customWidth="1"/>
    <col min="5" max="9" width="11.15234375" style="24" customWidth="1"/>
    <col min="10" max="10" width="5" customWidth="1"/>
    <col min="12" max="12" width="9" style="52"/>
  </cols>
  <sheetData>
    <row r="1" spans="1:18" ht="20">
      <c r="A1" s="677" t="s">
        <v>730</v>
      </c>
      <c r="B1" s="381"/>
      <c r="C1" s="381"/>
      <c r="D1" s="395"/>
      <c r="E1" s="847"/>
      <c r="F1" s="847"/>
      <c r="G1" s="847"/>
      <c r="H1" s="847"/>
      <c r="I1" s="847"/>
      <c r="J1" s="684"/>
    </row>
    <row r="2" spans="1:18" ht="20">
      <c r="A2" s="295" t="str">
        <f>Licensee</f>
        <v>NGGT (TO)</v>
      </c>
      <c r="B2" s="290"/>
      <c r="C2" s="290"/>
      <c r="D2" s="63"/>
      <c r="E2" s="850"/>
      <c r="F2" s="850"/>
      <c r="G2" s="850"/>
      <c r="H2" s="850"/>
      <c r="I2" s="850"/>
      <c r="J2" s="38"/>
    </row>
    <row r="3" spans="1:18" ht="20">
      <c r="A3" s="534">
        <f>Reporting_Year</f>
        <v>2022</v>
      </c>
      <c r="B3" s="524"/>
      <c r="C3" s="524"/>
      <c r="D3" s="524"/>
      <c r="E3" s="852"/>
      <c r="F3" s="852"/>
      <c r="G3" s="852"/>
      <c r="H3" s="852"/>
      <c r="I3" s="852"/>
      <c r="J3" s="68"/>
    </row>
    <row r="4" spans="1:18" s="2" customFormat="1" ht="12.75" customHeight="1">
      <c r="D4" s="1"/>
      <c r="E4" s="337"/>
      <c r="F4" s="337"/>
      <c r="G4" s="337"/>
      <c r="H4" s="337"/>
      <c r="I4" s="337"/>
      <c r="L4" s="39"/>
    </row>
    <row r="5" spans="1:18" s="2" customFormat="1">
      <c r="B5" s="20"/>
      <c r="C5" s="20"/>
      <c r="D5" s="64"/>
      <c r="E5" s="512" t="str">
        <f t="shared" ref="E5:I5" si="0">IF(E6&lt;=Reporting_Year,"Actuals","Forecast")</f>
        <v>Actuals</v>
      </c>
      <c r="F5" s="512" t="str">
        <f t="shared" si="0"/>
        <v>Forecast</v>
      </c>
      <c r="G5" s="512" t="str">
        <f t="shared" si="0"/>
        <v>Forecast</v>
      </c>
      <c r="H5" s="512" t="str">
        <f t="shared" si="0"/>
        <v>Forecast</v>
      </c>
      <c r="I5" s="512" t="str">
        <f t="shared" si="0"/>
        <v>Forecast</v>
      </c>
      <c r="L5" s="39"/>
    </row>
    <row r="6" spans="1:18" s="2" customFormat="1">
      <c r="D6" s="1"/>
      <c r="E6" s="401">
        <f>'RFPR cover'!$C$6</f>
        <v>2022</v>
      </c>
      <c r="F6" s="401">
        <f>E6+1</f>
        <v>2023</v>
      </c>
      <c r="G6" s="401">
        <f t="shared" ref="G6:I6" si="1">F6+1</f>
        <v>2024</v>
      </c>
      <c r="H6" s="401">
        <f t="shared" si="1"/>
        <v>2025</v>
      </c>
      <c r="I6" s="401">
        <f t="shared" si="1"/>
        <v>2026</v>
      </c>
      <c r="L6" s="39"/>
    </row>
    <row r="7" spans="1:18" s="2" customFormat="1">
      <c r="D7" s="1"/>
      <c r="E7" s="401" t="str">
        <f>RIIO_2_start_date-1&amp;"/"&amp;RIGHT(RIIO_2_start_date,2)</f>
        <v>2021/22</v>
      </c>
      <c r="F7" s="401" t="str">
        <f>RIIO_2_start_date&amp;"/"&amp;RIGHT(RIIO_2_start_date+1,2)</f>
        <v>2022/23</v>
      </c>
      <c r="G7" s="401" t="str">
        <f>RIIO_2_start_date+1&amp;"/"&amp;RIGHT(RIIO_2_start_date+2,2)</f>
        <v>2023/24</v>
      </c>
      <c r="H7" s="401" t="str">
        <f>RIIO_2_start_date+2&amp;"/"&amp;RIGHT(RIIO_2_start_date+3,2)</f>
        <v>2024/25</v>
      </c>
      <c r="I7" s="401" t="str">
        <f>RIIO_2_start_date+3&amp;"/"&amp;RIGHT(RIIO_2_start_date+4,2)</f>
        <v>2025/26</v>
      </c>
      <c r="L7" s="39"/>
    </row>
    <row r="8" spans="1:18" s="2" customFormat="1">
      <c r="D8" s="1"/>
      <c r="E8" s="42"/>
      <c r="F8" s="42"/>
      <c r="G8" s="42"/>
      <c r="H8" s="42"/>
      <c r="I8" s="42"/>
      <c r="J8" s="1"/>
      <c r="K8" s="1"/>
      <c r="L8" s="1"/>
      <c r="M8" s="1"/>
      <c r="N8" s="1"/>
      <c r="O8" s="1"/>
      <c r="P8" s="1"/>
      <c r="Q8" s="1"/>
      <c r="R8" s="1"/>
    </row>
    <row r="9" spans="1:18" s="2" customFormat="1">
      <c r="B9" s="548" t="s">
        <v>731</v>
      </c>
      <c r="C9" s="548"/>
      <c r="E9" s="337"/>
      <c r="F9" s="337"/>
      <c r="G9" s="337"/>
      <c r="H9" s="337"/>
      <c r="I9" s="337"/>
      <c r="K9" s="1"/>
      <c r="L9" s="39"/>
    </row>
    <row r="10" spans="1:18" s="2" customFormat="1">
      <c r="E10" s="337"/>
      <c r="F10" s="337"/>
      <c r="G10" s="337"/>
      <c r="H10" s="337"/>
      <c r="I10" s="337"/>
      <c r="K10" s="1"/>
    </row>
    <row r="11" spans="1:18" s="2" customFormat="1">
      <c r="B11" s="205"/>
      <c r="C11" s="205"/>
      <c r="D11" s="205"/>
      <c r="E11" s="931"/>
      <c r="F11" s="931"/>
      <c r="G11" s="931"/>
      <c r="H11" s="931"/>
      <c r="I11" s="931"/>
      <c r="J11" s="205"/>
      <c r="K11" s="1"/>
      <c r="L11" s="39"/>
    </row>
    <row r="12" spans="1:18" s="2" customFormat="1">
      <c r="B12" t="s">
        <v>732</v>
      </c>
      <c r="C12"/>
      <c r="D12" s="58" t="str">
        <f>Data!$C$9</f>
        <v>£m 18/19</v>
      </c>
      <c r="E12" s="945">
        <v>5804.005189860457</v>
      </c>
      <c r="F12" s="945">
        <v>5783.6389593790764</v>
      </c>
      <c r="G12" s="945">
        <v>5781.0452906221062</v>
      </c>
      <c r="H12" s="945">
        <v>5674.5203574035722</v>
      </c>
      <c r="I12" s="945">
        <v>5530.0325854464863</v>
      </c>
      <c r="K12" s="1"/>
      <c r="L12" s="39"/>
    </row>
    <row r="13" spans="1:18" s="2" customFormat="1">
      <c r="E13" s="827"/>
      <c r="F13" s="827"/>
      <c r="G13" s="827"/>
      <c r="H13" s="827"/>
      <c r="I13" s="827"/>
      <c r="K13" s="1"/>
      <c r="L13" s="39"/>
    </row>
    <row r="14" spans="1:18" s="2" customFormat="1">
      <c r="B14" s="205"/>
      <c r="C14" s="205"/>
      <c r="D14" s="1"/>
      <c r="E14" s="819"/>
      <c r="F14" s="819"/>
      <c r="G14" s="819"/>
      <c r="H14" s="819"/>
      <c r="I14" s="819"/>
      <c r="K14" s="1"/>
      <c r="L14" s="39"/>
    </row>
    <row r="15" spans="1:18" s="2" customFormat="1">
      <c r="B15" s="2" t="s">
        <v>733</v>
      </c>
      <c r="D15" s="58" t="str">
        <f>Data!$C$9</f>
        <v>£m 18/19</v>
      </c>
      <c r="E15" s="945">
        <v>5905.3609450254371</v>
      </c>
      <c r="F15" s="946">
        <f>E24</f>
        <v>5795.1588281413015</v>
      </c>
      <c r="G15" s="946">
        <f>F24</f>
        <v>5769.9386707441199</v>
      </c>
      <c r="H15" s="946">
        <f>G24</f>
        <v>5777.9246158981205</v>
      </c>
      <c r="I15" s="946">
        <f>H24</f>
        <v>5679.2049731138886</v>
      </c>
      <c r="K15" s="1"/>
      <c r="L15" s="39"/>
    </row>
    <row r="16" spans="1:18" s="2" customFormat="1">
      <c r="B16" s="2" t="s">
        <v>734</v>
      </c>
      <c r="D16" s="58" t="str">
        <f>Data!$C$9</f>
        <v>£m 18/19</v>
      </c>
      <c r="E16" s="945">
        <v>0</v>
      </c>
      <c r="F16" s="945">
        <v>0</v>
      </c>
      <c r="G16" s="945">
        <v>0</v>
      </c>
      <c r="H16" s="945">
        <v>0</v>
      </c>
      <c r="I16" s="945">
        <v>0</v>
      </c>
      <c r="K16" s="1"/>
      <c r="L16" s="39"/>
    </row>
    <row r="17" spans="1:13" s="2" customFormat="1">
      <c r="B17" s="5" t="s">
        <v>735</v>
      </c>
      <c r="C17" s="5"/>
      <c r="D17" s="58" t="str">
        <f>Data!$C$9</f>
        <v>£m 18/19</v>
      </c>
      <c r="E17" s="947">
        <f>SUM(E15:E16)</f>
        <v>5905.3609450254371</v>
      </c>
      <c r="F17" s="947">
        <f t="shared" ref="F17:I17" si="2">SUM(F15:F16)</f>
        <v>5795.1588281413015</v>
      </c>
      <c r="G17" s="947">
        <f t="shared" si="2"/>
        <v>5769.9386707441199</v>
      </c>
      <c r="H17" s="947">
        <f t="shared" si="2"/>
        <v>5777.9246158981205</v>
      </c>
      <c r="I17" s="947">
        <f t="shared" si="2"/>
        <v>5679.2049731138886</v>
      </c>
      <c r="K17" s="1"/>
      <c r="L17" s="39"/>
    </row>
    <row r="18" spans="1:13" s="2" customFormat="1">
      <c r="B18" s="326" t="s">
        <v>736</v>
      </c>
      <c r="C18" s="326"/>
      <c r="D18" s="58" t="str">
        <f>Data!$C$9</f>
        <v>£m 18/19</v>
      </c>
      <c r="E18" s="945">
        <v>194.59814792758698</v>
      </c>
      <c r="F18" s="945">
        <v>277.4337453283058</v>
      </c>
      <c r="G18" s="945">
        <v>300.46590994868035</v>
      </c>
      <c r="H18" s="945">
        <v>202.5275949169837</v>
      </c>
      <c r="I18" s="945">
        <v>166.00921277122083</v>
      </c>
      <c r="K18" s="1"/>
      <c r="L18" s="39"/>
    </row>
    <row r="19" spans="1:13" s="2" customFormat="1">
      <c r="B19" s="326" t="s">
        <v>737</v>
      </c>
      <c r="C19" s="326"/>
      <c r="D19" s="58" t="str">
        <f>Data!$C$9</f>
        <v>£m 18/19</v>
      </c>
      <c r="E19" s="920">
        <v>-8.8463617191556807</v>
      </c>
      <c r="F19" s="920">
        <v>-5.2385513383735542</v>
      </c>
      <c r="G19" s="920">
        <v>9.9757735961219396</v>
      </c>
      <c r="H19" s="920">
        <v>7.6487880178901833</v>
      </c>
      <c r="I19" s="920">
        <v>9.7691014435171155</v>
      </c>
      <c r="K19" s="1"/>
      <c r="L19" s="39"/>
    </row>
    <row r="20" spans="1:13" s="2" customFormat="1">
      <c r="B20" s="575" t="s">
        <v>738</v>
      </c>
      <c r="C20" s="575"/>
      <c r="D20" s="58" t="str">
        <f>Data!$C$9</f>
        <v>£m 18/19</v>
      </c>
      <c r="E20" s="947">
        <f>SUM(E18:E19)</f>
        <v>185.7517862084313</v>
      </c>
      <c r="F20" s="947">
        <f t="shared" ref="F20:I20" si="3">SUM(F18:F19)</f>
        <v>272.19519398993225</v>
      </c>
      <c r="G20" s="947">
        <f t="shared" si="3"/>
        <v>310.44168354480229</v>
      </c>
      <c r="H20" s="947">
        <f t="shared" si="3"/>
        <v>210.17638293487389</v>
      </c>
      <c r="I20" s="947">
        <f t="shared" si="3"/>
        <v>175.77831421473795</v>
      </c>
      <c r="K20" s="1"/>
      <c r="L20" s="39"/>
    </row>
    <row r="21" spans="1:13" s="2" customFormat="1">
      <c r="B21" s="326" t="s">
        <v>739</v>
      </c>
      <c r="C21" s="326"/>
      <c r="D21" s="58" t="str">
        <f>Data!$C$9</f>
        <v>£m 18/19</v>
      </c>
      <c r="E21" s="945">
        <v>-295.95390309256732</v>
      </c>
      <c r="F21" s="945">
        <v>-297.79997580968654</v>
      </c>
      <c r="G21" s="945">
        <v>-303.05957870565101</v>
      </c>
      <c r="H21" s="945">
        <v>-309.05252813551743</v>
      </c>
      <c r="I21" s="945">
        <v>-310.49698472830653</v>
      </c>
      <c r="K21" s="1"/>
      <c r="L21" s="39"/>
    </row>
    <row r="22" spans="1:13" s="2" customFormat="1">
      <c r="B22" s="326" t="s">
        <v>740</v>
      </c>
      <c r="C22" s="326"/>
      <c r="D22" s="58" t="str">
        <f>Data!$C$9</f>
        <v>£m 18/19</v>
      </c>
      <c r="E22" s="920">
        <v>0</v>
      </c>
      <c r="F22" s="920">
        <v>0.38462442257196017</v>
      </c>
      <c r="G22" s="920">
        <v>0.60384031484989009</v>
      </c>
      <c r="H22" s="920">
        <v>0.15650241641219509</v>
      </c>
      <c r="I22" s="920">
        <v>-0.18002376742009574</v>
      </c>
      <c r="K22" s="1"/>
      <c r="L22" s="39"/>
    </row>
    <row r="23" spans="1:13" s="2" customFormat="1">
      <c r="B23" s="204" t="s">
        <v>741</v>
      </c>
      <c r="C23" s="204"/>
      <c r="D23" s="58" t="str">
        <f>Data!$C$9</f>
        <v>£m 18/19</v>
      </c>
      <c r="E23" s="947">
        <f>SUM(E21:E22)</f>
        <v>-295.95390309256732</v>
      </c>
      <c r="F23" s="947">
        <f t="shared" ref="F23:I23" si="4">SUM(F21:F22)</f>
        <v>-297.41535138711458</v>
      </c>
      <c r="G23" s="947">
        <f t="shared" si="4"/>
        <v>-302.45573839080112</v>
      </c>
      <c r="H23" s="947">
        <f t="shared" si="4"/>
        <v>-308.89602571910524</v>
      </c>
      <c r="I23" s="947">
        <f t="shared" si="4"/>
        <v>-310.67700849572662</v>
      </c>
      <c r="K23" s="1"/>
      <c r="L23" s="39"/>
    </row>
    <row r="24" spans="1:13" s="2" customFormat="1">
      <c r="B24" s="5" t="s">
        <v>742</v>
      </c>
      <c r="C24" s="5"/>
      <c r="D24" s="58" t="str">
        <f>Data!$C$9</f>
        <v>£m 18/19</v>
      </c>
      <c r="E24" s="947">
        <f>E17+E20+E23</f>
        <v>5795.1588281413015</v>
      </c>
      <c r="F24" s="947">
        <f t="shared" ref="F24:I24" si="5">F17+F20+F23</f>
        <v>5769.9386707441199</v>
      </c>
      <c r="G24" s="947">
        <f t="shared" si="5"/>
        <v>5777.9246158981205</v>
      </c>
      <c r="H24" s="947">
        <f t="shared" si="5"/>
        <v>5679.2049731138886</v>
      </c>
      <c r="I24" s="947">
        <f t="shared" si="5"/>
        <v>5544.3062788328998</v>
      </c>
      <c r="K24" s="1"/>
      <c r="L24" s="39"/>
    </row>
    <row r="25" spans="1:13" s="2" customFormat="1">
      <c r="B25" s="5"/>
      <c r="C25" s="5"/>
      <c r="D25" s="58"/>
      <c r="E25" s="819"/>
      <c r="F25" s="819"/>
      <c r="G25" s="819"/>
      <c r="H25" s="819"/>
      <c r="I25" s="819"/>
      <c r="J25" s="58"/>
      <c r="K25" s="1"/>
      <c r="L25" s="58"/>
      <c r="M25" s="58"/>
    </row>
    <row r="26" spans="1:13" s="2" customFormat="1">
      <c r="B26" s="5" t="s">
        <v>743</v>
      </c>
      <c r="C26" s="58"/>
      <c r="D26" s="341"/>
      <c r="E26" s="947">
        <f>E19+E22</f>
        <v>-8.8463617191556807</v>
      </c>
      <c r="F26" s="947">
        <f>F19+F22</f>
        <v>-4.8539269158015941</v>
      </c>
      <c r="G26" s="947">
        <f t="shared" ref="G26:I26" si="6">G19+G22</f>
        <v>10.57961391097183</v>
      </c>
      <c r="H26" s="947">
        <f t="shared" si="6"/>
        <v>7.8052904343023783</v>
      </c>
      <c r="I26" s="947">
        <f t="shared" si="6"/>
        <v>9.5890776760970198</v>
      </c>
      <c r="J26" s="58"/>
      <c r="K26" s="1"/>
      <c r="L26" s="58"/>
      <c r="M26" s="58"/>
    </row>
    <row r="27" spans="1:13" s="2" customFormat="1">
      <c r="B27" s="5" t="s">
        <v>744</v>
      </c>
      <c r="C27" s="58"/>
      <c r="D27" s="620"/>
      <c r="E27" s="948" t="str">
        <f>IF(E5="Actuals",IF(ABS((E24-SUM($E26:E$26))-E12)&lt;0.1,"TRUE","FALSE"),"NA")</f>
        <v>TRUE</v>
      </c>
      <c r="F27" s="948" t="str">
        <f>IF(F5="Actuals",IF(ABS((F24-SUM($E26:F$26))-F12)&lt;0.1,"TRUE","FALSE"),"NA")</f>
        <v>NA</v>
      </c>
      <c r="G27" s="948" t="str">
        <f>IF(G5="Actuals",IF(ABS((G24-SUM($E26:G$26))-G12)&lt;0.1,"TRUE","FALSE"),"NA")</f>
        <v>NA</v>
      </c>
      <c r="H27" s="948" t="str">
        <f>IF(H5="Actuals",IF(ABS((H24-SUM($E26:H$26))-H12)&lt;0.1,"TRUE","FALSE"),"NA")</f>
        <v>NA</v>
      </c>
      <c r="I27" s="948" t="str">
        <f>IF(I5="Actuals",IF(ABS((I24-SUM($E26:I$26))-I12)&lt;0.1,"TRUE","FALSE"),"NA")</f>
        <v>NA</v>
      </c>
      <c r="J27" s="58"/>
      <c r="K27" s="1"/>
      <c r="L27" s="58"/>
      <c r="M27" s="58"/>
    </row>
    <row r="28" spans="1:13" s="2" customFormat="1">
      <c r="B28" s="5"/>
      <c r="C28" s="5"/>
      <c r="D28" s="58"/>
      <c r="E28" s="949"/>
      <c r="F28" s="949"/>
      <c r="G28" s="949"/>
      <c r="H28" s="949"/>
      <c r="I28" s="949"/>
      <c r="J28" s="58"/>
      <c r="K28" s="1"/>
      <c r="L28" s="58"/>
      <c r="M28" s="58"/>
    </row>
    <row r="29" spans="1:13" s="2" customFormat="1">
      <c r="B29" s="5"/>
      <c r="C29" s="5"/>
      <c r="D29" s="58"/>
      <c r="E29" s="950"/>
      <c r="F29" s="949"/>
      <c r="G29" s="950"/>
      <c r="H29" s="950"/>
      <c r="I29" s="950"/>
      <c r="J29" s="58"/>
      <c r="K29" s="1"/>
      <c r="L29" s="58"/>
      <c r="M29" s="58"/>
    </row>
    <row r="30" spans="1:13" s="2" customFormat="1">
      <c r="A30"/>
      <c r="B30" s="2" t="s">
        <v>745</v>
      </c>
      <c r="D30" s="54" t="s">
        <v>746</v>
      </c>
      <c r="E30" s="951">
        <f>INDEX(Data!C17:N17,MATCH(RIIO_2_start_date-1,Data!C15:N15,0))/IF(Sector="ED2",Data!$E$16,Data!$C$16)</f>
        <v>1.0533528227824487</v>
      </c>
      <c r="F30" s="949"/>
      <c r="G30" s="950"/>
      <c r="H30" s="950"/>
      <c r="I30" s="952"/>
      <c r="J30" s="482"/>
      <c r="K30" s="1"/>
      <c r="L30" s="58"/>
      <c r="M30" s="58"/>
    </row>
    <row r="31" spans="1:13" s="2" customFormat="1">
      <c r="B31" s="5"/>
      <c r="C31" s="5"/>
      <c r="D31" s="58"/>
      <c r="E31" s="953"/>
      <c r="F31" s="953"/>
      <c r="G31" s="953"/>
      <c r="H31" s="953"/>
      <c r="I31" s="953"/>
      <c r="J31" s="58"/>
      <c r="K31" s="1"/>
      <c r="L31" s="58"/>
      <c r="M31" s="58"/>
    </row>
    <row r="32" spans="1:13" s="2" customFormat="1">
      <c r="B32" s="5" t="s">
        <v>742</v>
      </c>
      <c r="C32" s="5"/>
      <c r="D32" s="46" t="s">
        <v>230</v>
      </c>
      <c r="E32" s="947">
        <f>E24*Combined_real_to_nominal_prices_conversion_factor__financial_year_end</f>
        <v>6543.9917486589065</v>
      </c>
      <c r="F32" s="947">
        <f>F24*Combined_real_to_nominal_prices_conversion_factor__financial_year_end</f>
        <v>6880.1627676696307</v>
      </c>
      <c r="G32" s="947">
        <f>G24*Combined_real_to_nominal_prices_conversion_factor__financial_year_end</f>
        <v>7031.0756240787723</v>
      </c>
      <c r="H32" s="947">
        <f>H24*Combined_real_to_nominal_prices_conversion_factor__financial_year_end</f>
        <v>7035.8963003356484</v>
      </c>
      <c r="I32" s="947">
        <f>I24*Combined_real_to_nominal_prices_conversion_factor__financial_year_end</f>
        <v>6998.6496123323204</v>
      </c>
      <c r="K32" s="1"/>
      <c r="L32" s="58"/>
      <c r="M32" s="58"/>
    </row>
    <row r="33" spans="1:13" s="2" customFormat="1">
      <c r="B33" s="5"/>
      <c r="C33" s="5"/>
      <c r="D33" s="58"/>
      <c r="E33" s="949"/>
      <c r="F33" s="949"/>
      <c r="G33" s="949"/>
      <c r="H33" s="949"/>
      <c r="I33" s="949"/>
      <c r="J33" s="58"/>
      <c r="K33" s="1"/>
      <c r="L33" s="58"/>
      <c r="M33" s="58"/>
    </row>
    <row r="34" spans="1:13" s="2" customFormat="1">
      <c r="B34" s="39" t="s">
        <v>747</v>
      </c>
      <c r="C34" s="39"/>
      <c r="D34" s="58" t="s">
        <v>748</v>
      </c>
      <c r="E34" s="826">
        <f>INDEX(Data!$H$55:$P$83,MATCH('RFPR cover'!$C$7,Data!$B$55:$B$83,0),MATCH('R7 - RAV'!E$6,Data!$H$54:$P$54,0))</f>
        <v>2.0500000000000001E-2</v>
      </c>
      <c r="F34" s="826">
        <f>INDEX(Data!$H$55:$P$83,MATCH('RFPR cover'!$C$7,Data!$B$55:$B$83,0),MATCH('R7 - RAV'!F$6,Data!$H$54:$P$54,0))</f>
        <v>1.9E-2</v>
      </c>
      <c r="G34" s="826">
        <f>INDEX(Data!$H$55:$P$83,MATCH('RFPR cover'!$C$7,Data!$B$55:$B$83,0),MATCH('R7 - RAV'!G$6,Data!$H$54:$P$54,0))</f>
        <v>1.83E-2</v>
      </c>
      <c r="H34" s="826">
        <f>INDEX(Data!$H$55:$P$83,MATCH('RFPR cover'!$C$7,Data!$B$55:$B$83,0),MATCH('R7 - RAV'!H$6,Data!$H$54:$P$54,0))</f>
        <v>1.78E-2</v>
      </c>
      <c r="I34" s="826">
        <f>INDEX(Data!$H$55:$P$83,MATCH('RFPR cover'!$C$7,Data!$B$55:$B$83,0),MATCH('R7 - RAV'!I$6,Data!$H$54:$P$54,0))</f>
        <v>1.7500000000000002E-2</v>
      </c>
      <c r="J34" s="58"/>
      <c r="K34" s="1"/>
      <c r="L34" s="58"/>
      <c r="M34" s="58"/>
    </row>
    <row r="35" spans="1:13" s="2" customFormat="1">
      <c r="B35" s="39" t="s">
        <v>749</v>
      </c>
      <c r="C35" s="39"/>
      <c r="D35" s="58" t="s">
        <v>748</v>
      </c>
      <c r="E35" s="826">
        <f>INDEX(Data!$O$55:$U$83,MATCH('RFPR cover'!$C$7,Data!$B$55:$B$83,0),MATCH('R7 - RAV'!E$6,Data!$O$54:$U$54,0))</f>
        <v>4.5181881000000007E-2</v>
      </c>
      <c r="F35" s="826">
        <f>INDEX(Data!$O$55:$U$83,MATCH('RFPR cover'!$C$7,Data!$B$55:$B$83,0),MATCH('R7 - RAV'!F$6,Data!$O$54:$U$54,0))</f>
        <v>4.5568105000000005E-2</v>
      </c>
      <c r="G35" s="826">
        <f>INDEX(Data!$O$55:$U$83,MATCH('RFPR cover'!$C$7,Data!$B$55:$B$83,0),MATCH('R7 - RAV'!G$6,Data!$O$54:$U$54,0))</f>
        <v>4.5399131999999995E-2</v>
      </c>
      <c r="H35" s="826">
        <f>INDEX(Data!$O$55:$U$83,MATCH('RFPR cover'!$C$7,Data!$B$55:$B$83,0),MATCH('R7 - RAV'!H$6,Data!$O$54:$U$54,0))</f>
        <v>4.564052200000001E-2</v>
      </c>
      <c r="I35" s="826">
        <f>INDEX(Data!$O$55:$U$83,MATCH('RFPR cover'!$C$7,Data!$B$55:$B$83,0),MATCH('R7 - RAV'!I$6,Data!$O$54:$U$54,0))</f>
        <v>4.5833633999999998E-2</v>
      </c>
      <c r="J35" s="58"/>
      <c r="K35" s="1"/>
      <c r="L35" s="58"/>
      <c r="M35" s="58"/>
    </row>
    <row r="36" spans="1:13">
      <c r="A36" s="2"/>
      <c r="B36" s="39" t="s">
        <v>750</v>
      </c>
      <c r="C36" s="39"/>
      <c r="D36" s="58" t="s">
        <v>194</v>
      </c>
      <c r="E36" s="954">
        <f t="shared" ref="E36:I36" si="7">Notional_Gearing</f>
        <v>0.6</v>
      </c>
      <c r="F36" s="954">
        <f t="shared" si="7"/>
        <v>0.6</v>
      </c>
      <c r="G36" s="954">
        <f t="shared" si="7"/>
        <v>0.6</v>
      </c>
      <c r="H36" s="954">
        <f t="shared" si="7"/>
        <v>0.6</v>
      </c>
      <c r="I36" s="954">
        <f t="shared" si="7"/>
        <v>0.6</v>
      </c>
      <c r="J36" s="58"/>
      <c r="K36" s="1"/>
      <c r="L36" s="58"/>
      <c r="M36" s="58"/>
    </row>
    <row r="37" spans="1:13">
      <c r="B37" t="s">
        <v>751</v>
      </c>
      <c r="D37" s="58" t="s">
        <v>748</v>
      </c>
      <c r="E37" s="955">
        <f t="shared" ref="E37:I37" si="8">E34*E36+E35*(1-E36)</f>
        <v>3.0372752400000001E-2</v>
      </c>
      <c r="F37" s="955">
        <f t="shared" si="8"/>
        <v>2.9627241999999998E-2</v>
      </c>
      <c r="G37" s="955">
        <f t="shared" si="8"/>
        <v>2.9139652799999999E-2</v>
      </c>
      <c r="H37" s="955">
        <f t="shared" si="8"/>
        <v>2.8936208800000002E-2</v>
      </c>
      <c r="I37" s="955">
        <f t="shared" si="8"/>
        <v>2.8833453600000003E-2</v>
      </c>
      <c r="J37" s="58"/>
      <c r="K37" s="1"/>
      <c r="L37" s="58"/>
      <c r="M37" s="58"/>
    </row>
    <row r="38" spans="1:13" s="2" customFormat="1">
      <c r="A38"/>
      <c r="B38"/>
      <c r="C38"/>
      <c r="D38" s="65"/>
      <c r="E38" s="956"/>
      <c r="F38" s="956"/>
      <c r="G38" s="956"/>
      <c r="H38" s="956"/>
      <c r="I38" s="956"/>
      <c r="J38" s="58"/>
      <c r="K38" s="1"/>
      <c r="L38" s="58"/>
      <c r="M38" s="58"/>
    </row>
    <row r="39" spans="1:13" s="2" customFormat="1">
      <c r="A39"/>
      <c r="B39" s="52" t="s">
        <v>752</v>
      </c>
      <c r="C39" s="52"/>
      <c r="D39" s="58" t="str">
        <f>Data!$C$9</f>
        <v>£m 18/19</v>
      </c>
      <c r="E39" s="873">
        <f>E41*E36</f>
        <v>3458.9079955709317</v>
      </c>
      <c r="F39" s="873">
        <f t="shared" ref="F39:I39" si="9">F41*F36</f>
        <v>3419.7207279938689</v>
      </c>
      <c r="G39" s="873">
        <f t="shared" si="9"/>
        <v>3415.2791404866416</v>
      </c>
      <c r="H39" s="873">
        <f t="shared" si="9"/>
        <v>3389.2249264952575</v>
      </c>
      <c r="I39" s="873">
        <f t="shared" si="9"/>
        <v>3320.4389802388396</v>
      </c>
      <c r="J39" s="58"/>
      <c r="K39" s="1"/>
      <c r="L39" s="58"/>
      <c r="M39" s="58"/>
    </row>
    <row r="40" spans="1:13" s="2" customFormat="1">
      <c r="A40"/>
      <c r="B40" s="52" t="s">
        <v>753</v>
      </c>
      <c r="C40" s="52"/>
      <c r="D40" s="58" t="str">
        <f>Data!$C$9</f>
        <v>£m 18/19</v>
      </c>
      <c r="E40" s="873">
        <f t="shared" ref="E40:I40" si="10">E41*(1-E36)</f>
        <v>2305.9386637139546</v>
      </c>
      <c r="F40" s="873">
        <f t="shared" si="10"/>
        <v>2279.8138186625797</v>
      </c>
      <c r="G40" s="873">
        <f t="shared" si="10"/>
        <v>2276.8527603244279</v>
      </c>
      <c r="H40" s="873">
        <f t="shared" si="10"/>
        <v>2259.4832843301715</v>
      </c>
      <c r="I40" s="873">
        <f t="shared" si="10"/>
        <v>2213.6259868258931</v>
      </c>
      <c r="J40" s="58"/>
      <c r="K40" s="1"/>
      <c r="L40" s="58"/>
      <c r="M40" s="58"/>
    </row>
    <row r="41" spans="1:13" s="2" customFormat="1">
      <c r="A41"/>
      <c r="B41" t="s">
        <v>754</v>
      </c>
      <c r="C41"/>
      <c r="D41" s="58" t="str">
        <f>Data!$C$9</f>
        <v>£m 18/19</v>
      </c>
      <c r="E41" s="873">
        <f>AVERAGE(E15,E24*(1/(1+E37)))</f>
        <v>5764.8466592848863</v>
      </c>
      <c r="F41" s="873">
        <f>AVERAGE(F15,F24*(1/(1+F37)))</f>
        <v>5699.5345466564486</v>
      </c>
      <c r="G41" s="873">
        <f>AVERAGE(G15,G24*(1/(1+G37)))</f>
        <v>5692.1319008110695</v>
      </c>
      <c r="H41" s="873">
        <f>AVERAGE(H15,H24*(1/(1+H37)))</f>
        <v>5648.708210825429</v>
      </c>
      <c r="I41" s="873">
        <f>AVERAGE(I15,I24*(1/(1+I37)))</f>
        <v>5534.0649670647326</v>
      </c>
      <c r="J41" s="58"/>
      <c r="K41" s="1"/>
      <c r="L41" s="58"/>
      <c r="M41" s="58"/>
    </row>
    <row r="42" spans="1:13" s="2" customFormat="1">
      <c r="A42"/>
      <c r="B42"/>
      <c r="C42"/>
      <c r="D42" s="58"/>
      <c r="E42" s="819"/>
      <c r="F42" s="819"/>
      <c r="G42" s="819"/>
      <c r="H42" s="819"/>
      <c r="I42" s="819"/>
      <c r="J42" s="58"/>
      <c r="K42" s="1"/>
      <c r="L42" s="58"/>
      <c r="M42" s="58"/>
    </row>
    <row r="43" spans="1:13" s="2" customFormat="1">
      <c r="A43"/>
      <c r="B43" s="52" t="s">
        <v>755</v>
      </c>
      <c r="C43" s="52"/>
      <c r="D43" s="58" t="str">
        <f>Data!$C$9</f>
        <v>£m 18/19</v>
      </c>
      <c r="E43" s="873">
        <f>E34*E39</f>
        <v>70.907613909204102</v>
      </c>
      <c r="F43" s="873">
        <f t="shared" ref="E43:I44" si="11">F34*F39</f>
        <v>64.974693831883513</v>
      </c>
      <c r="G43" s="873">
        <f t="shared" si="11"/>
        <v>62.49960827090554</v>
      </c>
      <c r="H43" s="873">
        <f t="shared" si="11"/>
        <v>60.328203691615585</v>
      </c>
      <c r="I43" s="873">
        <f t="shared" si="11"/>
        <v>58.107682154179699</v>
      </c>
      <c r="J43" s="58"/>
      <c r="K43" s="1"/>
      <c r="L43" s="58"/>
      <c r="M43" s="58"/>
    </row>
    <row r="44" spans="1:13">
      <c r="B44" s="52" t="s">
        <v>756</v>
      </c>
      <c r="C44" s="52"/>
      <c r="D44" s="58" t="str">
        <f>Data!$C$9</f>
        <v>£m 18/19</v>
      </c>
      <c r="E44" s="873">
        <f t="shared" si="11"/>
        <v>104.18664629722294</v>
      </c>
      <c r="F44" s="873">
        <f t="shared" si="11"/>
        <v>103.8867954692674</v>
      </c>
      <c r="G44" s="873">
        <f t="shared" si="11"/>
        <v>103.36713901053305</v>
      </c>
      <c r="H44" s="873">
        <f t="shared" si="11"/>
        <v>103.12399654710347</v>
      </c>
      <c r="I44" s="873">
        <f t="shared" si="11"/>
        <v>101.4585232930668</v>
      </c>
      <c r="J44" s="58"/>
      <c r="K44" s="1"/>
      <c r="L44" s="58"/>
      <c r="M44" s="58"/>
    </row>
    <row r="45" spans="1:13">
      <c r="B45" t="s">
        <v>757</v>
      </c>
      <c r="D45" s="58" t="str">
        <f>Data!$C$9</f>
        <v>£m 18/19</v>
      </c>
      <c r="E45" s="873">
        <f>SUM(E43:E44)</f>
        <v>175.09426020642704</v>
      </c>
      <c r="F45" s="873">
        <f t="shared" ref="F45:I45" si="12">SUM(F43:F44)</f>
        <v>168.86148930115093</v>
      </c>
      <c r="G45" s="873">
        <f t="shared" si="12"/>
        <v>165.86674728143859</v>
      </c>
      <c r="H45" s="873">
        <f t="shared" si="12"/>
        <v>163.45220023871906</v>
      </c>
      <c r="I45" s="873">
        <f t="shared" si="12"/>
        <v>159.56620544724649</v>
      </c>
      <c r="J45" s="58"/>
      <c r="K45" s="1"/>
      <c r="L45" s="58"/>
      <c r="M45" s="58"/>
    </row>
    <row r="46" spans="1:13">
      <c r="J46" s="58"/>
      <c r="K46" s="1"/>
      <c r="L46" s="58"/>
      <c r="M46" s="58"/>
    </row>
    <row r="47" spans="1:13">
      <c r="B47" s="52"/>
      <c r="C47" s="52"/>
      <c r="D47" s="46"/>
      <c r="E47" s="926"/>
      <c r="F47" s="926"/>
      <c r="G47" s="926"/>
      <c r="H47" s="926"/>
      <c r="I47" s="926"/>
      <c r="J47" s="58"/>
      <c r="K47" s="1"/>
      <c r="L47" s="58"/>
      <c r="M47" s="58"/>
    </row>
    <row r="48" spans="1:13">
      <c r="B48" s="52"/>
      <c r="C48" s="52"/>
      <c r="D48" s="46"/>
      <c r="E48" s="926"/>
      <c r="F48" s="926"/>
      <c r="G48" s="926"/>
      <c r="H48" s="926"/>
      <c r="I48" s="926"/>
      <c r="J48" s="58"/>
      <c r="K48" s="1"/>
      <c r="L48" s="58"/>
      <c r="M48" s="58"/>
    </row>
    <row r="49" spans="2:13">
      <c r="D49" s="46"/>
      <c r="E49" s="957"/>
      <c r="F49" s="957"/>
      <c r="G49" s="957"/>
      <c r="H49" s="957"/>
      <c r="I49" s="957"/>
      <c r="J49" s="58"/>
      <c r="K49" s="1"/>
      <c r="L49" s="58"/>
      <c r="M49" s="58"/>
    </row>
    <row r="50" spans="2:13">
      <c r="D50" s="58"/>
      <c r="E50" s="949"/>
      <c r="F50" s="949"/>
      <c r="G50" s="949"/>
      <c r="H50" s="949"/>
      <c r="I50" s="949"/>
      <c r="J50" s="58"/>
      <c r="K50" s="1"/>
      <c r="L50" s="58"/>
      <c r="M50" s="58"/>
    </row>
    <row r="54" spans="2:13">
      <c r="D54"/>
      <c r="L54"/>
    </row>
    <row r="55" spans="2:13">
      <c r="D55"/>
      <c r="L55"/>
    </row>
    <row r="56" spans="2:13">
      <c r="B56" s="52"/>
      <c r="C56" s="52"/>
      <c r="D56" s="46"/>
      <c r="E56" s="926"/>
      <c r="F56" s="926"/>
      <c r="G56" s="926"/>
      <c r="H56" s="926"/>
      <c r="I56" s="926"/>
      <c r="J56" s="6"/>
    </row>
    <row r="57" spans="2:13">
      <c r="B57" s="52"/>
      <c r="C57" s="52"/>
      <c r="D57" s="46"/>
      <c r="E57" s="957"/>
      <c r="F57" s="957"/>
      <c r="G57" s="957"/>
      <c r="H57" s="957"/>
      <c r="I57" s="957"/>
    </row>
    <row r="58" spans="2:13">
      <c r="D58" s="46"/>
      <c r="E58" s="926"/>
      <c r="F58" s="926"/>
      <c r="G58" s="926"/>
      <c r="H58" s="926"/>
      <c r="I58" s="926"/>
    </row>
    <row r="59" spans="2:13">
      <c r="B59" s="6"/>
      <c r="C59" s="6"/>
      <c r="D59" s="66"/>
      <c r="E59" s="66"/>
      <c r="F59" s="66"/>
      <c r="G59" s="66"/>
      <c r="H59" s="66"/>
      <c r="I59" s="66"/>
    </row>
    <row r="60" spans="2:13">
      <c r="B60" s="6"/>
      <c r="C60" s="6"/>
      <c r="D60" s="66"/>
      <c r="E60" s="66"/>
      <c r="F60" s="66"/>
      <c r="G60" s="66"/>
      <c r="H60" s="66"/>
      <c r="I60" s="66"/>
    </row>
    <row r="61" spans="2:13">
      <c r="B61" s="6"/>
      <c r="C61" s="6"/>
      <c r="D61" s="66"/>
      <c r="E61" s="66"/>
      <c r="F61" s="66"/>
      <c r="G61" s="66"/>
      <c r="H61" s="66"/>
      <c r="I61" s="66"/>
    </row>
    <row r="64" spans="2:13">
      <c r="B64" s="6"/>
      <c r="C64" s="6"/>
      <c r="D64" s="66"/>
      <c r="E64" s="66"/>
      <c r="F64" s="66"/>
      <c r="G64" s="66"/>
      <c r="H64" s="66"/>
      <c r="I64" s="66"/>
    </row>
  </sheetData>
  <sheetProtection algorithmName="SHA-512" hashValue="PgeNgoXRcBye9Fli3XC55MwKrC4Iwpk1b+AU7lJKbZGBIqvQESQ4rLwc40yDZASOOoeUvX9xc7aMVKikr8vTxQ==" saltValue="rVNwv6amTdzNVoritkq2IQ==" spinCount="100000" sheet="1" objects="1" scenarios="1"/>
  <conditionalFormatting sqref="E5:H6">
    <cfRule type="expression" dxfId="32" priority="15">
      <formula>AND(E$5="Actuals",F$5="Forecast")</formula>
    </cfRule>
  </conditionalFormatting>
  <conditionalFormatting sqref="I5:I6">
    <cfRule type="expression" dxfId="31" priority="256">
      <formula>AND(I$5="Actuals",#REF!="Forecast")</formula>
    </cfRule>
  </conditionalFormatting>
  <conditionalFormatting sqref="E7:I7">
    <cfRule type="expression" dxfId="30" priority="1">
      <formula>AND(E$5="Actuals",F$5="Forecast")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CC"/>
    <pageSetUpPr fitToPage="1"/>
  </sheetPr>
  <dimension ref="A1:AL68"/>
  <sheetViews>
    <sheetView showGridLines="0" zoomScaleNormal="100" workbookViewId="0">
      <pane ySplit="7" topLeftCell="A8" activePane="bottomLeft" state="frozen"/>
      <selection activeCell="B3" sqref="B3:F3"/>
      <selection pane="bottomLeft"/>
    </sheetView>
  </sheetViews>
  <sheetFormatPr defaultRowHeight="13.5"/>
  <cols>
    <col min="1" max="1" width="8.3828125" customWidth="1"/>
    <col min="2" max="2" width="62.765625" customWidth="1"/>
    <col min="3" max="3" width="5.15234375" customWidth="1"/>
    <col min="4" max="4" width="14.15234375" customWidth="1"/>
    <col min="5" max="9" width="11.15234375" style="24" customWidth="1"/>
    <col min="10" max="10" width="7.765625" customWidth="1"/>
  </cols>
  <sheetData>
    <row r="1" spans="1:14" ht="20">
      <c r="A1" s="677" t="s">
        <v>182</v>
      </c>
      <c r="B1" s="381"/>
      <c r="C1" s="381"/>
      <c r="D1" s="382"/>
      <c r="E1" s="847"/>
      <c r="F1" s="847"/>
      <c r="G1" s="847"/>
      <c r="H1" s="847"/>
      <c r="I1" s="847"/>
      <c r="J1" s="684"/>
    </row>
    <row r="2" spans="1:14" ht="20">
      <c r="A2" s="295" t="str">
        <f>Licensee</f>
        <v>NGGT (TO)</v>
      </c>
      <c r="B2" s="15"/>
      <c r="C2" s="15"/>
      <c r="D2" s="15"/>
      <c r="E2" s="850"/>
      <c r="F2" s="850"/>
      <c r="G2" s="850"/>
      <c r="H2" s="850"/>
      <c r="I2" s="850"/>
      <c r="J2" s="38"/>
    </row>
    <row r="3" spans="1:14" ht="20">
      <c r="A3" s="534">
        <f>Reporting_Year</f>
        <v>2022</v>
      </c>
      <c r="B3" s="524"/>
      <c r="C3" s="524"/>
      <c r="D3" s="524"/>
      <c r="E3" s="958"/>
      <c r="F3" s="958"/>
      <c r="G3" s="958"/>
      <c r="H3" s="958"/>
      <c r="I3" s="958"/>
      <c r="J3" s="68"/>
    </row>
    <row r="4" spans="1:14" ht="12.75" customHeight="1">
      <c r="A4" s="69"/>
      <c r="B4" s="70"/>
      <c r="C4" s="70"/>
      <c r="D4" s="69"/>
      <c r="E4" s="959">
        <f>IF(E5="Actuals",1,0)</f>
        <v>0</v>
      </c>
      <c r="F4" s="959">
        <f t="shared" ref="F4:I4" si="0">IF(F5="Actuals",1,0)</f>
        <v>0</v>
      </c>
      <c r="G4" s="959">
        <f t="shared" si="0"/>
        <v>0</v>
      </c>
      <c r="H4" s="959">
        <f t="shared" si="0"/>
        <v>0</v>
      </c>
      <c r="I4" s="959">
        <f t="shared" si="0"/>
        <v>0</v>
      </c>
      <c r="J4" s="71"/>
      <c r="K4" s="70"/>
    </row>
    <row r="5" spans="1:14" s="2" customFormat="1">
      <c r="B5" s="3"/>
      <c r="C5" s="3"/>
      <c r="D5" s="3"/>
      <c r="E5" s="512" t="str">
        <f>IF(E6+1&lt;=Reporting_Year,"Actuals","Forecast")</f>
        <v>Forecast</v>
      </c>
      <c r="F5" s="512" t="str">
        <f>IF(F6+1&lt;=Reporting_Year,"Actuals","Forecast")</f>
        <v>Forecast</v>
      </c>
      <c r="G5" s="512" t="str">
        <f>IF(G6+1&lt;=Reporting_Year,"Actuals","Forecast")</f>
        <v>Forecast</v>
      </c>
      <c r="H5" s="512" t="str">
        <f>IF(H6+1&lt;=Reporting_Year,"Actuals","Forecast")</f>
        <v>Forecast</v>
      </c>
      <c r="I5" s="512" t="str">
        <f>IF(I6+1&lt;=Reporting_Year,"Actuals","Forecast")</f>
        <v>Forecast</v>
      </c>
    </row>
    <row r="6" spans="1:14" s="2" customFormat="1">
      <c r="E6" s="401">
        <f>'RFPR cover'!$C$6</f>
        <v>2022</v>
      </c>
      <c r="F6" s="401">
        <f>E6+1</f>
        <v>2023</v>
      </c>
      <c r="G6" s="401">
        <f t="shared" ref="G6:I6" si="1">F6+1</f>
        <v>2024</v>
      </c>
      <c r="H6" s="401">
        <f t="shared" si="1"/>
        <v>2025</v>
      </c>
      <c r="I6" s="401">
        <f t="shared" si="1"/>
        <v>2026</v>
      </c>
    </row>
    <row r="7" spans="1:14" s="2" customFormat="1">
      <c r="E7" s="401" t="str">
        <f>RIIO_2_start_date-1&amp;"/"&amp;RIGHT(RIIO_2_start_date,2)</f>
        <v>2021/22</v>
      </c>
      <c r="F7" s="401" t="str">
        <f>RIIO_2_start_date&amp;"/"&amp;RIGHT(RIIO_2_start_date+1,2)</f>
        <v>2022/23</v>
      </c>
      <c r="G7" s="401" t="str">
        <f>RIIO_2_start_date+1&amp;"/"&amp;RIGHT(RIIO_2_start_date+2,2)</f>
        <v>2023/24</v>
      </c>
      <c r="H7" s="401" t="str">
        <f>RIIO_2_start_date+2&amp;"/"&amp;RIGHT(RIIO_2_start_date+3,2)</f>
        <v>2024/25</v>
      </c>
      <c r="I7" s="401" t="str">
        <f>RIIO_2_start_date+3&amp;"/"&amp;RIGHT(RIIO_2_start_date+4,2)</f>
        <v>2025/26</v>
      </c>
    </row>
    <row r="8" spans="1:14" s="2" customFormat="1">
      <c r="B8" s="559" t="s">
        <v>758</v>
      </c>
      <c r="C8" s="126"/>
      <c r="D8" s="558"/>
      <c r="E8" s="928"/>
      <c r="F8" s="928"/>
      <c r="G8" s="928"/>
      <c r="H8" s="928"/>
      <c r="I8" s="928"/>
    </row>
    <row r="9" spans="1:14" s="2" customFormat="1" ht="34.5" customHeight="1">
      <c r="B9" s="1101" t="s">
        <v>759</v>
      </c>
      <c r="C9" s="1101"/>
      <c r="D9" s="1101"/>
      <c r="E9" s="1101"/>
      <c r="F9" s="1101"/>
      <c r="G9" s="1101"/>
      <c r="H9" s="1101"/>
      <c r="I9" s="1101"/>
    </row>
    <row r="10" spans="1:14" s="2" customFormat="1">
      <c r="B10" s="205"/>
      <c r="C10" s="205"/>
      <c r="E10" s="337"/>
      <c r="F10" s="337"/>
      <c r="G10" s="337"/>
      <c r="H10" s="337"/>
      <c r="I10" s="337"/>
    </row>
    <row r="11" spans="1:14" s="2" customFormat="1">
      <c r="B11" s="6" t="s">
        <v>760</v>
      </c>
      <c r="C11" s="6"/>
      <c r="D11" s="46" t="s">
        <v>230</v>
      </c>
      <c r="E11" s="829"/>
      <c r="F11" s="829"/>
      <c r="G11" s="829"/>
      <c r="H11" s="829"/>
      <c r="I11" s="829"/>
      <c r="J11"/>
    </row>
    <row r="12" spans="1:14" s="2" customFormat="1">
      <c r="B12" s="578"/>
      <c r="C12" s="6"/>
      <c r="D12" s="46"/>
      <c r="E12" s="840"/>
      <c r="F12" s="840"/>
      <c r="G12" s="840"/>
      <c r="H12" s="840"/>
      <c r="I12" s="840"/>
      <c r="J12"/>
    </row>
    <row r="13" spans="1:14">
      <c r="B13" s="6" t="s">
        <v>761</v>
      </c>
      <c r="C13" s="6"/>
      <c r="D13" s="46"/>
      <c r="E13" s="821"/>
      <c r="F13" s="821"/>
      <c r="G13" s="821"/>
      <c r="H13" s="821"/>
      <c r="I13" s="821"/>
      <c r="M13" s="2"/>
      <c r="N13" s="2"/>
    </row>
    <row r="14" spans="1:14">
      <c r="B14" s="127" t="s">
        <v>762</v>
      </c>
      <c r="C14" s="127"/>
      <c r="D14" s="46" t="s">
        <v>230</v>
      </c>
      <c r="E14" s="829"/>
      <c r="F14" s="829"/>
      <c r="G14" s="829"/>
      <c r="H14" s="829"/>
      <c r="I14" s="829"/>
      <c r="M14" s="2"/>
      <c r="N14" s="2"/>
    </row>
    <row r="15" spans="1:14">
      <c r="B15" s="127" t="s">
        <v>763</v>
      </c>
      <c r="C15" s="127"/>
      <c r="D15" s="46" t="s">
        <v>230</v>
      </c>
      <c r="E15" s="829"/>
      <c r="F15" s="829"/>
      <c r="G15" s="829"/>
      <c r="H15" s="829"/>
      <c r="I15" s="829"/>
      <c r="M15" s="2"/>
      <c r="N15" s="2"/>
    </row>
    <row r="16" spans="1:14">
      <c r="B16" s="127" t="s">
        <v>764</v>
      </c>
      <c r="C16" s="127"/>
      <c r="D16" s="46" t="s">
        <v>230</v>
      </c>
      <c r="E16" s="829"/>
      <c r="F16" s="829"/>
      <c r="G16" s="829"/>
      <c r="H16" s="829"/>
      <c r="I16" s="829"/>
      <c r="M16" s="2"/>
      <c r="N16" s="2"/>
    </row>
    <row r="17" spans="2:38">
      <c r="B17" s="127" t="s">
        <v>765</v>
      </c>
      <c r="C17" s="127"/>
      <c r="D17" s="46" t="s">
        <v>230</v>
      </c>
      <c r="E17" s="829"/>
      <c r="F17" s="829"/>
      <c r="G17" s="829"/>
      <c r="H17" s="829"/>
      <c r="I17" s="829"/>
      <c r="M17" s="2"/>
      <c r="N17" s="2"/>
    </row>
    <row r="18" spans="2:38">
      <c r="B18" s="556" t="s">
        <v>766</v>
      </c>
      <c r="C18" s="556"/>
      <c r="D18" s="46" t="s">
        <v>230</v>
      </c>
      <c r="E18" s="824">
        <f>SUM(E14:E17)</f>
        <v>0</v>
      </c>
      <c r="F18" s="824">
        <f t="shared" ref="F18:I18" si="2">SUM(F14:F17)</f>
        <v>0</v>
      </c>
      <c r="G18" s="824">
        <f t="shared" si="2"/>
        <v>0</v>
      </c>
      <c r="H18" s="824">
        <f t="shared" si="2"/>
        <v>0</v>
      </c>
      <c r="I18" s="824">
        <f t="shared" si="2"/>
        <v>0</v>
      </c>
      <c r="M18" s="2"/>
      <c r="N18" s="2"/>
    </row>
    <row r="19" spans="2:38">
      <c r="B19" s="127"/>
      <c r="C19" s="127"/>
      <c r="D19" s="127"/>
      <c r="E19" s="960"/>
      <c r="F19" s="960"/>
      <c r="G19" s="960"/>
      <c r="H19" s="960"/>
      <c r="I19" s="960"/>
    </row>
    <row r="20" spans="2:38">
      <c r="B20" s="6" t="s">
        <v>554</v>
      </c>
      <c r="C20" s="6"/>
      <c r="D20" s="46"/>
      <c r="E20" s="821"/>
      <c r="F20" s="821"/>
      <c r="G20" s="821"/>
      <c r="H20" s="821"/>
      <c r="I20" s="821"/>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row>
    <row r="21" spans="2:38">
      <c r="B21" s="127" t="s">
        <v>767</v>
      </c>
      <c r="C21" s="557"/>
      <c r="D21" s="46" t="s">
        <v>230</v>
      </c>
      <c r="E21" s="843">
        <f>('R4 - Incentives and Other Rev'!D55+'R4 - Incentives and Other Rev'!D41+'R4 - Incentives and Other Rev'!D48+'R4 - Incentives and Other Rev'!D67)/(1-INDEX(Corporate_Tax,MATCH($E$6,Data!$C$15:$N$15,0)))*INDEX(Corporate_Tax,MATCH($E$6,Data!$C$15:$N$15,0))</f>
        <v>4.9656369284952158E-2</v>
      </c>
      <c r="F21" s="843">
        <f>('R4 - Incentives and Other Rev'!E55+'R4 - Incentives and Other Rev'!E41+'R4 - Incentives and Other Rev'!E48+'R4 - Incentives and Other Rev'!E67)/(1-INDEX(Corporate_Tax,MATCH($E$6,Data!$C$15:$N$15,0)))*INDEX(Corporate_Tax,MATCH($E$6,Data!$C$15:$N$15,0))</f>
        <v>0.24624938271604938</v>
      </c>
      <c r="G21" s="843">
        <f>('R4 - Incentives and Other Rev'!F55+'R4 - Incentives and Other Rev'!F41+'R4 - Incentives and Other Rev'!F48+'R4 - Incentives and Other Rev'!F67)/(1-INDEX(Corporate_Tax,MATCH($E$6,Data!$C$15:$N$15,0)))*INDEX(Corporate_Tax,MATCH($E$6,Data!$C$15:$N$15,0))</f>
        <v>0.11728395061728394</v>
      </c>
      <c r="H21" s="843">
        <f>('R4 - Incentives and Other Rev'!G55+'R4 - Incentives and Other Rev'!G41+'R4 - Incentives and Other Rev'!G48+'R4 - Incentives and Other Rev'!G67)/(1-INDEX(Corporate_Tax,MATCH($E$6,Data!$C$15:$N$15,0)))*INDEX(Corporate_Tax,MATCH($E$6,Data!$C$15:$N$15,0))</f>
        <v>0.11735432098765433</v>
      </c>
      <c r="I21" s="843">
        <f>('R4 - Incentives and Other Rev'!H55+'R4 - Incentives and Other Rev'!H41+'R4 - Incentives and Other Rev'!H48+'R4 - Incentives and Other Rev'!H67)/(1-INDEX(Corporate_Tax,MATCH($E$6,Data!$C$15:$N$15,0)))*INDEX(Corporate_Tax,MATCH($E$6,Data!$C$15:$N$15,0))</f>
        <v>0.11735432098765433</v>
      </c>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row>
    <row r="22" spans="2:38">
      <c r="B22" s="127" t="s">
        <v>768</v>
      </c>
      <c r="C22" s="127"/>
      <c r="D22" s="46" t="s">
        <v>230</v>
      </c>
      <c r="E22" s="829"/>
      <c r="F22" s="829"/>
      <c r="G22" s="829"/>
      <c r="H22" s="829"/>
      <c r="I22" s="829"/>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row>
    <row r="23" spans="2:38">
      <c r="B23" s="127" t="s">
        <v>769</v>
      </c>
      <c r="C23" s="127"/>
      <c r="D23" s="46" t="s">
        <v>230</v>
      </c>
      <c r="E23" s="829"/>
      <c r="F23" s="829"/>
      <c r="G23" s="829"/>
      <c r="H23" s="829"/>
      <c r="I23" s="829"/>
    </row>
    <row r="24" spans="2:38">
      <c r="B24" s="127" t="s">
        <v>770</v>
      </c>
      <c r="C24" s="127"/>
      <c r="D24" s="46" t="s">
        <v>230</v>
      </c>
      <c r="E24" s="829"/>
      <c r="F24" s="829"/>
      <c r="G24" s="829"/>
      <c r="H24" s="829"/>
      <c r="I24" s="829"/>
    </row>
    <row r="25" spans="2:38">
      <c r="B25" s="127" t="s">
        <v>771</v>
      </c>
      <c r="C25" s="127"/>
      <c r="D25" s="46" t="s">
        <v>230</v>
      </c>
      <c r="E25" s="829"/>
      <c r="F25" s="829"/>
      <c r="G25" s="829"/>
      <c r="H25" s="829"/>
      <c r="I25" s="829"/>
    </row>
    <row r="26" spans="2:38">
      <c r="B26" s="127" t="s">
        <v>772</v>
      </c>
      <c r="C26" s="127"/>
      <c r="D26" s="46" t="s">
        <v>230</v>
      </c>
      <c r="E26" s="829"/>
      <c r="F26" s="829"/>
      <c r="G26" s="829"/>
      <c r="H26" s="829"/>
      <c r="I26" s="829"/>
    </row>
    <row r="27" spans="2:38">
      <c r="B27" s="127" t="s">
        <v>772</v>
      </c>
      <c r="C27" s="127"/>
      <c r="D27" s="46" t="s">
        <v>230</v>
      </c>
      <c r="E27" s="829"/>
      <c r="F27" s="829"/>
      <c r="G27" s="829"/>
      <c r="H27" s="829"/>
      <c r="I27" s="829"/>
    </row>
    <row r="28" spans="2:38">
      <c r="B28" s="127" t="s">
        <v>772</v>
      </c>
      <c r="C28" s="127"/>
      <c r="D28" s="46" t="s">
        <v>230</v>
      </c>
      <c r="E28" s="829"/>
      <c r="F28" s="829"/>
      <c r="G28" s="829"/>
      <c r="H28" s="829"/>
      <c r="I28" s="829"/>
    </row>
    <row r="29" spans="2:38">
      <c r="B29" s="127" t="s">
        <v>772</v>
      </c>
      <c r="C29" s="127"/>
      <c r="D29" s="46" t="s">
        <v>230</v>
      </c>
      <c r="E29" s="829"/>
      <c r="F29" s="829"/>
      <c r="G29" s="829"/>
      <c r="H29" s="829"/>
      <c r="I29" s="829"/>
    </row>
    <row r="30" spans="2:38">
      <c r="B30" s="127" t="s">
        <v>773</v>
      </c>
      <c r="C30" s="127"/>
      <c r="D30" s="46" t="s">
        <v>230</v>
      </c>
      <c r="E30" s="829"/>
      <c r="F30" s="829"/>
      <c r="G30" s="829"/>
      <c r="H30" s="829"/>
      <c r="I30" s="829"/>
    </row>
    <row r="31" spans="2:38">
      <c r="B31" s="6" t="s">
        <v>252</v>
      </c>
      <c r="C31" s="6"/>
      <c r="D31" s="46" t="s">
        <v>230</v>
      </c>
      <c r="E31" s="824">
        <f>SUM(E21:E30)</f>
        <v>4.9656369284952158E-2</v>
      </c>
      <c r="F31" s="824">
        <f>SUM(F21:F30)</f>
        <v>0.24624938271604938</v>
      </c>
      <c r="G31" s="824">
        <f>SUM(G21:G30)</f>
        <v>0.11728395061728394</v>
      </c>
      <c r="H31" s="824">
        <f>SUM(H21:H30)</f>
        <v>0.11735432098765433</v>
      </c>
      <c r="I31" s="824">
        <f>SUM(I21:I30)</f>
        <v>0.11735432098765433</v>
      </c>
    </row>
    <row r="32" spans="2:38">
      <c r="E32" s="888"/>
      <c r="F32" s="888"/>
      <c r="G32" s="888"/>
      <c r="H32" s="888"/>
      <c r="I32" s="888"/>
    </row>
    <row r="33" spans="2:11" ht="25.5" customHeight="1">
      <c r="B33" s="362" t="s">
        <v>774</v>
      </c>
      <c r="D33" s="46" t="s">
        <v>230</v>
      </c>
      <c r="E33" s="829">
        <v>33.853582920655377</v>
      </c>
      <c r="F33" s="829">
        <v>13.980193083452095</v>
      </c>
      <c r="G33" s="829">
        <v>102.30678446422147</v>
      </c>
      <c r="H33" s="829">
        <v>92.232898535722143</v>
      </c>
      <c r="I33" s="829">
        <v>92.726867716127231</v>
      </c>
    </row>
    <row r="34" spans="2:11" ht="12.75" customHeight="1">
      <c r="B34" s="362" t="s">
        <v>775</v>
      </c>
      <c r="C34" s="362"/>
      <c r="D34" s="46" t="s">
        <v>230</v>
      </c>
      <c r="E34" s="824">
        <f>E11+E33-E18-E31</f>
        <v>33.803926551370424</v>
      </c>
      <c r="F34" s="824">
        <f>F11+F33-F18-F31</f>
        <v>13.733943700736045</v>
      </c>
      <c r="G34" s="824">
        <f>G11+G33-G18-G31</f>
        <v>102.18950051360419</v>
      </c>
      <c r="H34" s="824">
        <f>H11+H33-H18-H31</f>
        <v>92.115544214734484</v>
      </c>
      <c r="I34" s="824">
        <f>I11+I33-I18-I31</f>
        <v>92.609513395139572</v>
      </c>
    </row>
    <row r="35" spans="2:11" ht="12.75" customHeight="1">
      <c r="B35" s="361"/>
      <c r="C35" s="361"/>
      <c r="D35" s="46"/>
      <c r="E35" s="483"/>
      <c r="F35" s="483"/>
      <c r="G35" s="483"/>
      <c r="H35" s="483"/>
      <c r="I35" s="483"/>
    </row>
    <row r="36" spans="2:11">
      <c r="B36" t="s">
        <v>369</v>
      </c>
      <c r="D36" s="54" t="s">
        <v>370</v>
      </c>
      <c r="E36" s="961">
        <f t="shared" ref="E36:I36" si="3">INDEX(real_to_nominal_CF,MATCH(E$6,calendar_year,0))</f>
        <v>1.0847835302284383</v>
      </c>
      <c r="F36" s="961">
        <f t="shared" si="3"/>
        <v>1.1682111694202062</v>
      </c>
      <c r="G36" s="961">
        <f t="shared" si="3"/>
        <v>1.2070548174037865</v>
      </c>
      <c r="H36" s="961">
        <f t="shared" si="3"/>
        <v>1.2275072378847331</v>
      </c>
      <c r="I36" s="961">
        <f t="shared" si="3"/>
        <v>1.2509585044470788</v>
      </c>
    </row>
    <row r="37" spans="2:11">
      <c r="B37" s="361"/>
      <c r="C37" s="361"/>
      <c r="D37" s="46"/>
      <c r="E37" s="805"/>
      <c r="F37" s="805"/>
      <c r="G37" s="805"/>
      <c r="H37" s="805"/>
      <c r="I37" s="805"/>
    </row>
    <row r="38" spans="2:11">
      <c r="B38" s="362" t="s">
        <v>776</v>
      </c>
      <c r="C38" s="362"/>
      <c r="D38" s="58" t="str">
        <f>Data!$C$9</f>
        <v>£m 18/19</v>
      </c>
      <c r="E38" s="824">
        <f>Adjusted_regulated_tax_liability/E36</f>
        <v>31.161909827531996</v>
      </c>
      <c r="F38" s="824">
        <f>Adjusted_regulated_tax_liability/F36</f>
        <v>11.7563879375955</v>
      </c>
      <c r="G38" s="824">
        <f>Adjusted_regulated_tax_liability/G36</f>
        <v>84.660198559498838</v>
      </c>
      <c r="H38" s="824">
        <f>Adjusted_regulated_tax_liability/H36</f>
        <v>75.042770724081407</v>
      </c>
      <c r="I38" s="824">
        <f>Adjusted_regulated_tax_liability/I36</f>
        <v>74.030843601860951</v>
      </c>
    </row>
    <row r="39" spans="2:11">
      <c r="B39" s="362"/>
      <c r="C39" s="362"/>
      <c r="D39" s="362"/>
      <c r="E39" s="816"/>
      <c r="F39" s="816"/>
      <c r="G39" s="816"/>
      <c r="H39" s="816"/>
      <c r="I39" s="816"/>
    </row>
    <row r="40" spans="2:11">
      <c r="B40" s="262" t="s">
        <v>777</v>
      </c>
      <c r="C40" s="262"/>
      <c r="D40" s="58"/>
      <c r="E40" s="949"/>
      <c r="F40" s="949"/>
      <c r="G40" s="949"/>
      <c r="H40" s="949"/>
      <c r="I40" s="949"/>
    </row>
    <row r="41" spans="2:11">
      <c r="B41" s="126" t="s">
        <v>376</v>
      </c>
      <c r="C41" s="126"/>
      <c r="D41" s="362"/>
      <c r="E41" s="816"/>
      <c r="F41" s="816"/>
      <c r="G41" s="816"/>
      <c r="H41" s="816"/>
      <c r="I41" s="816"/>
      <c r="K41" s="362"/>
    </row>
    <row r="42" spans="2:11">
      <c r="K42" s="362"/>
    </row>
    <row r="43" spans="2:11" ht="12.75" customHeight="1">
      <c r="B43" s="52" t="s">
        <v>24</v>
      </c>
      <c r="C43" s="52"/>
      <c r="D43" s="31" t="s">
        <v>194</v>
      </c>
      <c r="E43" s="962">
        <f>Data!$C$8</f>
        <v>0.6</v>
      </c>
      <c r="F43" s="962">
        <f>Data!$C$8</f>
        <v>0.6</v>
      </c>
      <c r="G43" s="962">
        <f>Data!$C$8</f>
        <v>0.6</v>
      </c>
      <c r="H43" s="962">
        <f>Data!$C$8</f>
        <v>0.6</v>
      </c>
      <c r="I43" s="962">
        <f>Data!$C$8</f>
        <v>0.6</v>
      </c>
      <c r="K43" s="362"/>
    </row>
    <row r="44" spans="2:11" ht="12.75" customHeight="1">
      <c r="B44" s="52" t="s">
        <v>377</v>
      </c>
      <c r="C44" s="52"/>
      <c r="D44" s="31" t="s">
        <v>194</v>
      </c>
      <c r="E44" s="962">
        <f>'R6 - Net Debt'!D58</f>
        <v>0.55888936000945066</v>
      </c>
      <c r="F44" s="962">
        <f>'R6 - Net Debt'!E58</f>
        <v>0.56344747156135599</v>
      </c>
      <c r="G44" s="962">
        <f>'R6 - Net Debt'!F58</f>
        <v>0.59847550718294584</v>
      </c>
      <c r="H44" s="962">
        <f>'R6 - Net Debt'!G58</f>
        <v>0.59766785942810341</v>
      </c>
      <c r="I44" s="962">
        <f>'R6 - Net Debt'!H58</f>
        <v>0.59885821354554525</v>
      </c>
      <c r="K44" s="362"/>
    </row>
    <row r="45" spans="2:11" ht="12.75" customHeight="1">
      <c r="B45" s="52"/>
      <c r="C45" s="52"/>
      <c r="D45" s="31"/>
      <c r="E45" s="31"/>
      <c r="F45" s="31"/>
      <c r="G45" s="31"/>
      <c r="H45" s="31"/>
      <c r="I45" s="31"/>
      <c r="K45" s="362"/>
    </row>
    <row r="46" spans="2:11" ht="12.75" customHeight="1">
      <c r="B46" s="362" t="s">
        <v>776</v>
      </c>
      <c r="C46" s="362"/>
      <c r="D46" s="46" t="s">
        <v>230</v>
      </c>
      <c r="E46" s="824">
        <f>E34</f>
        <v>33.803926551370424</v>
      </c>
      <c r="F46" s="824">
        <f>F34</f>
        <v>13.733943700736045</v>
      </c>
      <c r="G46" s="824">
        <f>G34</f>
        <v>102.18950051360419</v>
      </c>
      <c r="H46" s="824">
        <f>H34</f>
        <v>92.115544214734484</v>
      </c>
      <c r="I46" s="824">
        <f>I34</f>
        <v>92.609513395139572</v>
      </c>
      <c r="K46" s="362"/>
    </row>
    <row r="47" spans="2:11">
      <c r="B47" s="52" t="s">
        <v>778</v>
      </c>
      <c r="C47" s="52"/>
      <c r="D47" s="46" t="s">
        <v>230</v>
      </c>
      <c r="E47" s="824">
        <f>E64-E66</f>
        <v>-1.7119993729598058</v>
      </c>
      <c r="F47" s="824">
        <f t="shared" ref="F47:I47" si="4">F64-F66</f>
        <v>-1.3358026368383227</v>
      </c>
      <c r="G47" s="824">
        <f t="shared" si="4"/>
        <v>-7.8287694207688219E-2</v>
      </c>
      <c r="H47" s="824">
        <f t="shared" si="4"/>
        <v>-0.13894678027314811</v>
      </c>
      <c r="I47" s="824">
        <f t="shared" si="4"/>
        <v>-6.2713005979091463E-2</v>
      </c>
      <c r="K47" s="362"/>
    </row>
    <row r="48" spans="2:11">
      <c r="B48" s="52" t="s">
        <v>779</v>
      </c>
      <c r="C48" s="52"/>
      <c r="D48" s="46" t="s">
        <v>230</v>
      </c>
      <c r="E48" s="824">
        <f>SUM(E46:E47)</f>
        <v>32.091927178410614</v>
      </c>
      <c r="F48" s="824">
        <f t="shared" ref="F48:I48" si="5">SUM(F46:F47)</f>
        <v>12.398141063897722</v>
      </c>
      <c r="G48" s="824">
        <f t="shared" si="5"/>
        <v>102.1112128193965</v>
      </c>
      <c r="H48" s="824">
        <f t="shared" si="5"/>
        <v>91.97659743446134</v>
      </c>
      <c r="I48" s="824">
        <f t="shared" si="5"/>
        <v>92.546800389160481</v>
      </c>
    </row>
    <row r="49" spans="2:11">
      <c r="E49" s="888"/>
      <c r="F49" s="888"/>
      <c r="G49" s="888"/>
      <c r="H49" s="888"/>
      <c r="I49" s="888"/>
    </row>
    <row r="50" spans="2:11">
      <c r="B50" s="52" t="s">
        <v>779</v>
      </c>
      <c r="C50" s="52"/>
      <c r="D50" s="58" t="str">
        <f>Data!$C$9</f>
        <v>£m 18/19</v>
      </c>
      <c r="E50" s="824">
        <f>E48/E36</f>
        <v>29.583715353470161</v>
      </c>
      <c r="F50" s="824">
        <f t="shared" ref="F50:I50" si="6">F48/F36</f>
        <v>10.612928029143079</v>
      </c>
      <c r="G50" s="824">
        <f t="shared" si="6"/>
        <v>84.595340118043737</v>
      </c>
      <c r="H50" s="824">
        <f t="shared" si="6"/>
        <v>74.929576458512287</v>
      </c>
      <c r="I50" s="824">
        <f t="shared" si="6"/>
        <v>73.980711638445584</v>
      </c>
    </row>
    <row r="52" spans="2:11">
      <c r="B52" s="241" t="s">
        <v>780</v>
      </c>
      <c r="C52" s="241"/>
      <c r="D52" s="242"/>
      <c r="E52" s="242"/>
      <c r="F52" s="242"/>
      <c r="G52" s="242"/>
      <c r="H52" s="242"/>
      <c r="I52" s="242"/>
      <c r="J52" s="242"/>
      <c r="K52" s="362"/>
    </row>
    <row r="53" spans="2:11" ht="12.65" customHeight="1">
      <c r="D53" s="58"/>
      <c r="E53" s="963"/>
      <c r="F53" s="963"/>
      <c r="G53" s="963"/>
      <c r="H53" s="963"/>
      <c r="I53" s="963"/>
    </row>
    <row r="54" spans="2:11">
      <c r="B54" t="s">
        <v>781</v>
      </c>
      <c r="D54" s="58" t="str">
        <f>Data!$C$9</f>
        <v>£m 18/19</v>
      </c>
      <c r="E54" s="945">
        <v>31.207685199208679</v>
      </c>
      <c r="F54" s="945">
        <v>11.96717977828494</v>
      </c>
      <c r="G54" s="945">
        <v>84.75736394828337</v>
      </c>
      <c r="H54" s="945">
        <v>75.138374495175981</v>
      </c>
      <c r="I54" s="945">
        <v>74.124655123642427</v>
      </c>
    </row>
    <row r="55" spans="2:11">
      <c r="D55" s="58"/>
      <c r="E55" s="949"/>
      <c r="F55" s="949"/>
      <c r="G55" s="949"/>
      <c r="H55" s="949"/>
      <c r="I55" s="949"/>
      <c r="J55" s="58"/>
    </row>
    <row r="56" spans="2:11">
      <c r="B56" s="263" t="s">
        <v>384</v>
      </c>
      <c r="C56" s="263"/>
      <c r="D56" s="263"/>
      <c r="E56" s="964"/>
      <c r="F56" s="964"/>
      <c r="G56" s="964"/>
      <c r="H56" s="964"/>
      <c r="I56" s="964"/>
      <c r="J56" s="263"/>
    </row>
    <row r="58" spans="2:11">
      <c r="B58" s="6" t="s">
        <v>782</v>
      </c>
      <c r="C58" s="6"/>
      <c r="D58" s="59" t="str">
        <f>Data!$C$9</f>
        <v>£m 18/19</v>
      </c>
      <c r="E58" s="839">
        <f>E$54-E38</f>
        <v>4.5775371676683108E-2</v>
      </c>
      <c r="F58" s="839">
        <f>F$54-F38</f>
        <v>0.21079184068944024</v>
      </c>
      <c r="G58" s="839">
        <f>G$54-G38</f>
        <v>9.716538878453207E-2</v>
      </c>
      <c r="H58" s="839">
        <f>H$54-H38</f>
        <v>9.5603771094573631E-2</v>
      </c>
      <c r="I58" s="839">
        <f>I$54-I38</f>
        <v>9.3811521781475449E-2</v>
      </c>
    </row>
    <row r="59" spans="2:11">
      <c r="B59" s="6"/>
      <c r="C59" s="6"/>
      <c r="D59" s="6"/>
      <c r="E59" s="965"/>
      <c r="F59" s="965"/>
      <c r="G59" s="965"/>
      <c r="H59" s="965"/>
      <c r="I59" s="965"/>
    </row>
    <row r="60" spans="2:11">
      <c r="B60" s="6" t="s">
        <v>783</v>
      </c>
      <c r="C60" s="6"/>
      <c r="D60" s="59" t="str">
        <f>Data!$C$9</f>
        <v>£m 18/19</v>
      </c>
      <c r="E60" s="839">
        <f>E$54-E50</f>
        <v>1.6239698457385181</v>
      </c>
      <c r="F60" s="839">
        <f>F$54-F50</f>
        <v>1.3542517491418611</v>
      </c>
      <c r="G60" s="839">
        <f>G$54-G50</f>
        <v>0.16202383023963307</v>
      </c>
      <c r="H60" s="839">
        <f>H$54-H50</f>
        <v>0.20879803666369412</v>
      </c>
      <c r="I60" s="839">
        <f>I$54-I50</f>
        <v>0.14394348519684286</v>
      </c>
    </row>
    <row r="61" spans="2:11">
      <c r="E61" s="888"/>
      <c r="F61" s="888"/>
      <c r="G61" s="888"/>
      <c r="H61" s="888"/>
      <c r="I61" s="888"/>
    </row>
    <row r="62" spans="2:11">
      <c r="B62" s="6" t="s">
        <v>784</v>
      </c>
      <c r="C62" s="6"/>
      <c r="D62" s="59" t="str">
        <f>Data!$C$9</f>
        <v>£m 18/19</v>
      </c>
      <c r="E62" s="839">
        <f>E58-E60</f>
        <v>-1.578194474061835</v>
      </c>
      <c r="F62" s="839">
        <f t="shared" ref="F62:I62" si="7">F58-F60</f>
        <v>-1.1434599084524208</v>
      </c>
      <c r="G62" s="839">
        <f t="shared" si="7"/>
        <v>-6.4858441455101001E-2</v>
      </c>
      <c r="H62" s="839">
        <f t="shared" si="7"/>
        <v>-0.11319426556912049</v>
      </c>
      <c r="I62" s="839">
        <f t="shared" si="7"/>
        <v>-5.0131963415367409E-2</v>
      </c>
    </row>
    <row r="64" spans="2:11">
      <c r="B64" t="s">
        <v>785</v>
      </c>
      <c r="D64" s="46" t="s">
        <v>230</v>
      </c>
      <c r="E64" s="833">
        <f>-('R5 - Financing'!D83*INDEX(Corporate_Tax,MATCH(E$6,Data!$C$15:$N$15,0))*'R8 - Tax'!E$36)</f>
        <v>8.6595355260082272</v>
      </c>
      <c r="F64" s="833">
        <f>-('R5 - Financing'!E83*INDEX(Corporate_Tax,MATCH(F$6,Data!$C$15:$N$15,0))*'R8 - Tax'!F$36)</f>
        <v>6.1692501955928085</v>
      </c>
      <c r="G64" s="833">
        <f>-('R5 - Financing'!F83*INDEX(Corporate_Tax,MATCH(G$6,Data!$C$15:$N$15,0))*'R8 - Tax'!G$36)</f>
        <v>11.873562158634602</v>
      </c>
      <c r="H64" s="833">
        <f>-('R5 - Financing'!G83*INDEX(Corporate_Tax,MATCH(H$6,Data!$C$15:$N$15,0))*'R8 - Tax'!H$36)</f>
        <v>17.095172123329746</v>
      </c>
      <c r="I64" s="833">
        <f>-('R5 - Financing'!H83*INDEX(Corporate_Tax,MATCH(I$6,Data!$C$15:$N$15,0))*'R8 - Tax'!I$36)</f>
        <v>14.719914500710061</v>
      </c>
    </row>
    <row r="65" spans="2:9">
      <c r="B65" t="s">
        <v>785</v>
      </c>
      <c r="D65" s="58" t="str">
        <f>Data!$C$9</f>
        <v>£m 18/19</v>
      </c>
      <c r="E65" s="824">
        <f>E64/E$36</f>
        <v>7.9827313788444645</v>
      </c>
      <c r="F65" s="824">
        <f t="shared" ref="F65:I65" si="8">F64/F$36</f>
        <v>5.2809375197590889</v>
      </c>
      <c r="G65" s="824">
        <f t="shared" si="8"/>
        <v>9.8368044163669772</v>
      </c>
      <c r="H65" s="824">
        <f t="shared" si="8"/>
        <v>13.926738348841441</v>
      </c>
      <c r="I65" s="824">
        <f t="shared" si="8"/>
        <v>11.766908693119468</v>
      </c>
    </row>
    <row r="66" spans="2:9">
      <c r="B66" t="s">
        <v>786</v>
      </c>
      <c r="D66" s="46" t="s">
        <v>230</v>
      </c>
      <c r="E66" s="833">
        <f>-('R5 - Financing'!D85*INDEX(Corporate_Tax,MATCH(E$6,Data!$C$15:$N$15,0))*'R8 - Tax'!E$36)</f>
        <v>10.371534898968033</v>
      </c>
      <c r="F66" s="833">
        <f>-('R5 - Financing'!E85*INDEX(Corporate_Tax,MATCH(F$6,Data!$C$15:$N$15,0))*'R8 - Tax'!F$36)</f>
        <v>7.5050528324311312</v>
      </c>
      <c r="G66" s="833">
        <f>-('R5 - Financing'!F85*INDEX(Corporate_Tax,MATCH(G$6,Data!$C$15:$N$15,0))*'R8 - Tax'!G$36)</f>
        <v>11.95184985284229</v>
      </c>
      <c r="H66" s="833">
        <f>-('R5 - Financing'!G85*INDEX(Corporate_Tax,MATCH(H$6,Data!$C$15:$N$15,0))*'R8 - Tax'!H$36)</f>
        <v>17.234118903602894</v>
      </c>
      <c r="I66" s="833">
        <f>-('R5 - Financing'!H85*INDEX(Corporate_Tax,MATCH(I$6,Data!$C$15:$N$15,0))*'R8 - Tax'!I$36)</f>
        <v>14.782627506689153</v>
      </c>
    </row>
    <row r="67" spans="2:9">
      <c r="B67" t="s">
        <v>786</v>
      </c>
      <c r="D67" s="58" t="str">
        <f>Data!$C$9</f>
        <v>£m 18/19</v>
      </c>
      <c r="E67" s="824">
        <f>E66/E$36</f>
        <v>9.5609258529062942</v>
      </c>
      <c r="F67" s="824">
        <f t="shared" ref="F67:I67" si="9">F66/F$36</f>
        <v>6.4243974282115079</v>
      </c>
      <c r="G67" s="824">
        <f t="shared" si="9"/>
        <v>9.9016628578220836</v>
      </c>
      <c r="H67" s="824">
        <f t="shared" si="9"/>
        <v>14.039932614410565</v>
      </c>
      <c r="I67" s="824">
        <f t="shared" si="9"/>
        <v>11.817040656534843</v>
      </c>
    </row>
    <row r="68" spans="2:9">
      <c r="B68" t="s">
        <v>787</v>
      </c>
      <c r="D68" s="58" t="str">
        <f>Data!$C$9</f>
        <v>£m 18/19</v>
      </c>
      <c r="E68" s="824">
        <f>E65-E67</f>
        <v>-1.5781944740618297</v>
      </c>
      <c r="F68" s="824">
        <f t="shared" ref="F68:I68" si="10">F65-F67</f>
        <v>-1.1434599084524191</v>
      </c>
      <c r="G68" s="824">
        <f t="shared" si="10"/>
        <v>-6.485844145510633E-2</v>
      </c>
      <c r="H68" s="824">
        <f t="shared" si="10"/>
        <v>-0.11319426556912404</v>
      </c>
      <c r="I68" s="824">
        <f t="shared" si="10"/>
        <v>-5.0131963415374514E-2</v>
      </c>
    </row>
  </sheetData>
  <sheetProtection algorithmName="SHA-512" hashValue="GXyDA+3HBhZA0Ky7O+O71Zw/4m911fv8/DbUuN9NcbQl3ZHz9vT7Z+yo6n88F99PxPf2wKz2l+H/DRtJtZI2Nw==" saltValue="5LxFKKPxKx+DWtH0x6kEBQ==" spinCount="100000" sheet="1" objects="1" scenarios="1"/>
  <mergeCells count="1">
    <mergeCell ref="B9:I9"/>
  </mergeCells>
  <phoneticPr fontId="265" type="noConversion"/>
  <conditionalFormatting sqref="E7:I7">
    <cfRule type="expression" dxfId="29" priority="15">
      <formula>AND(E$5="Actuals",F$5="Forecast")</formula>
    </cfRule>
  </conditionalFormatting>
  <conditionalFormatting sqref="E21:I30">
    <cfRule type="expression" dxfId="28" priority="13">
      <formula>E$5="Forecast"</formula>
    </cfRule>
  </conditionalFormatting>
  <conditionalFormatting sqref="E11:I11">
    <cfRule type="expression" dxfId="27" priority="10">
      <formula>E$5="Forecast"</formula>
    </cfRule>
  </conditionalFormatting>
  <conditionalFormatting sqref="E14:I17">
    <cfRule type="expression" dxfId="26" priority="7">
      <formula>E$5="Forecast"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ignoredErrors>
    <ignoredError sqref="E44:I44 E47:I50 E60:I61 E67:I68 E63:I63 F62:I62 E65:I65" evalError="1"/>
    <ignoredError sqref="E66:I66" formula="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B54B1-505F-4D02-868C-C77F2B703BD0}">
  <sheetPr>
    <tabColor theme="0" tint="-0.34998626667073579"/>
    <pageSetUpPr fitToPage="1"/>
  </sheetPr>
  <dimension ref="A1:W101"/>
  <sheetViews>
    <sheetView showGridLines="0" view="pageBreakPreview" zoomScale="85" zoomScaleNormal="85" zoomScaleSheetLayoutView="85" workbookViewId="0">
      <pane xSplit="2" ySplit="9" topLeftCell="C10" activePane="bottomRight" state="frozen"/>
      <selection pane="topRight" activeCell="B27" sqref="B27"/>
      <selection pane="bottomLeft" activeCell="B27" sqref="B27"/>
      <selection pane="bottomRight" activeCell="H84" sqref="H84:I85"/>
    </sheetView>
  </sheetViews>
  <sheetFormatPr defaultColWidth="9.23046875" defaultRowHeight="14.5"/>
  <cols>
    <col min="1" max="1" width="27" style="581" customWidth="1"/>
    <col min="2" max="2" width="51.23046875" style="581" customWidth="1"/>
    <col min="3" max="3" width="14.15234375" style="581" customWidth="1"/>
    <col min="4" max="5" width="16.23046875" style="581" customWidth="1"/>
    <col min="6" max="6" width="3.765625" style="581" customWidth="1"/>
    <col min="7" max="7" width="48.84375" style="581" customWidth="1"/>
    <col min="8" max="9" width="15.61328125" style="581" customWidth="1"/>
    <col min="10" max="10" width="3.23046875" style="581" customWidth="1"/>
    <col min="11" max="11" width="17.4609375" style="581" customWidth="1"/>
    <col min="12" max="12" width="3.15234375" style="581" customWidth="1"/>
    <col min="13" max="13" width="56.23046875" style="581" customWidth="1"/>
    <col min="14" max="14" width="2.23046875" style="581" customWidth="1"/>
    <col min="15" max="16384" width="9.23046875" style="581"/>
  </cols>
  <sheetData>
    <row r="1" spans="1:13" ht="20">
      <c r="A1" s="677" t="s">
        <v>788</v>
      </c>
      <c r="B1" s="677"/>
      <c r="C1" s="290"/>
      <c r="D1" s="290"/>
      <c r="E1" s="290"/>
      <c r="F1" s="580"/>
      <c r="G1" s="290"/>
      <c r="H1" s="290"/>
      <c r="I1" s="670"/>
      <c r="K1" s="290"/>
      <c r="L1" s="580"/>
      <c r="M1" s="290"/>
    </row>
    <row r="2" spans="1:13" ht="20">
      <c r="A2" s="290"/>
      <c r="B2" s="290"/>
      <c r="C2" s="290"/>
      <c r="D2" s="290"/>
      <c r="E2" s="290"/>
      <c r="F2" s="580"/>
      <c r="G2" s="290"/>
      <c r="H2" s="290"/>
      <c r="I2" s="671"/>
      <c r="K2" s="290"/>
      <c r="L2" s="580"/>
      <c r="M2" s="290"/>
    </row>
    <row r="3" spans="1:13" ht="20">
      <c r="A3" s="290" t="s">
        <v>789</v>
      </c>
      <c r="B3" s="290" t="str">
        <f>Licensee</f>
        <v>NGGT (TO)</v>
      </c>
      <c r="C3" s="290"/>
      <c r="D3" s="290"/>
      <c r="E3" s="290"/>
      <c r="F3" s="580"/>
      <c r="G3" s="290"/>
      <c r="H3" s="290"/>
      <c r="I3" s="671"/>
      <c r="K3" s="290"/>
      <c r="L3" s="580"/>
      <c r="M3" s="290"/>
    </row>
    <row r="4" spans="1:13" ht="20">
      <c r="A4" s="290" t="s">
        <v>6</v>
      </c>
      <c r="B4" s="290" t="str">
        <f>Sector</f>
        <v>GT2</v>
      </c>
      <c r="C4" s="290"/>
      <c r="D4" s="290"/>
      <c r="E4" s="290"/>
      <c r="F4" s="580"/>
      <c r="G4" s="290"/>
      <c r="H4" s="290"/>
      <c r="I4" s="671"/>
      <c r="K4" s="290"/>
      <c r="L4" s="580"/>
      <c r="M4" s="290"/>
    </row>
    <row r="5" spans="1:13" ht="20">
      <c r="A5" s="290" t="s">
        <v>790</v>
      </c>
      <c r="B5" s="478">
        <f>INDEX(Data!$C$14:$N$14,MATCH($B$6,Data!$C$15:$N$15,0))</f>
        <v>44286</v>
      </c>
      <c r="C5" s="290"/>
      <c r="D5" s="290"/>
      <c r="E5" s="290"/>
      <c r="F5" s="580"/>
      <c r="G5" s="290"/>
      <c r="H5" s="290"/>
      <c r="I5" s="671"/>
      <c r="K5" s="290"/>
      <c r="L5" s="580"/>
      <c r="M5" s="290"/>
    </row>
    <row r="6" spans="1:13" ht="20">
      <c r="A6" s="290" t="s">
        <v>32</v>
      </c>
      <c r="B6" s="290">
        <f>Reporting_Year-1</f>
        <v>2021</v>
      </c>
      <c r="C6" s="290"/>
      <c r="D6" s="290"/>
      <c r="E6" s="290"/>
      <c r="F6" s="580"/>
      <c r="G6" s="290"/>
      <c r="H6" s="290"/>
      <c r="I6" s="671"/>
      <c r="K6" s="290"/>
      <c r="L6" s="580"/>
      <c r="M6" s="290"/>
    </row>
    <row r="7" spans="1:13" ht="28.5" customHeight="1">
      <c r="A7" s="1117" t="s">
        <v>791</v>
      </c>
      <c r="B7" s="1117"/>
      <c r="C7" s="290"/>
      <c r="D7" s="290"/>
      <c r="E7" s="290"/>
      <c r="F7" s="580"/>
      <c r="G7" s="290"/>
      <c r="H7" s="290"/>
      <c r="I7" s="672"/>
      <c r="K7" s="290"/>
      <c r="L7" s="580"/>
      <c r="M7" s="290"/>
    </row>
    <row r="8" spans="1:13" ht="86.25" customHeight="1">
      <c r="A8" s="1118" t="s">
        <v>792</v>
      </c>
      <c r="B8" s="1119"/>
      <c r="C8" s="1113" t="s">
        <v>793</v>
      </c>
      <c r="D8" s="686" t="s">
        <v>794</v>
      </c>
      <c r="E8" s="686" t="s">
        <v>795</v>
      </c>
      <c r="F8" s="582"/>
      <c r="G8" s="1122" t="s">
        <v>796</v>
      </c>
      <c r="H8" s="673" t="s">
        <v>797</v>
      </c>
      <c r="I8" s="673" t="s">
        <v>798</v>
      </c>
      <c r="J8" s="582"/>
      <c r="K8" s="673" t="s">
        <v>799</v>
      </c>
      <c r="L8" s="582"/>
      <c r="M8" s="1113" t="s">
        <v>800</v>
      </c>
    </row>
    <row r="9" spans="1:13" ht="15.65" customHeight="1">
      <c r="A9" s="1120"/>
      <c r="B9" s="1121"/>
      <c r="C9" s="1114"/>
      <c r="D9" s="583" t="s">
        <v>398</v>
      </c>
      <c r="E9" s="583" t="s">
        <v>398</v>
      </c>
      <c r="F9" s="584"/>
      <c r="G9" s="1123"/>
      <c r="H9" s="583" t="s">
        <v>398</v>
      </c>
      <c r="I9" s="583" t="s">
        <v>398</v>
      </c>
      <c r="J9" s="584"/>
      <c r="K9" s="583" t="s">
        <v>398</v>
      </c>
      <c r="M9" s="1114"/>
    </row>
    <row r="10" spans="1:13" ht="15.65" customHeight="1">
      <c r="A10" s="585"/>
      <c r="B10" s="585"/>
      <c r="C10" s="585"/>
      <c r="D10" s="584"/>
      <c r="E10" s="584"/>
      <c r="F10" s="584"/>
      <c r="G10" s="586"/>
      <c r="H10" s="584"/>
      <c r="I10" s="584"/>
      <c r="J10" s="584"/>
      <c r="K10" s="584"/>
      <c r="M10" s="585"/>
    </row>
    <row r="11" spans="1:13" ht="29">
      <c r="A11" s="585" t="s">
        <v>801</v>
      </c>
      <c r="B11" s="668" t="str">
        <f>IF(AND(D11="",E11=""),"No Filing Date",IF(AND(D11="",E11&lt;&gt;""),"Enter Original Filing Date",IF(AND(D11&lt;&gt;"",E11=""),"Original Filing","Re-filed")))</f>
        <v>Original Filing</v>
      </c>
      <c r="C11" s="585"/>
      <c r="D11" s="626">
        <v>44561</v>
      </c>
      <c r="E11" s="626"/>
      <c r="F11" s="584"/>
      <c r="G11" s="586"/>
      <c r="H11" s="584"/>
      <c r="I11" s="584"/>
      <c r="J11" s="584"/>
      <c r="M11" s="585"/>
    </row>
    <row r="12" spans="1:13" s="588" customFormat="1" ht="17.5" customHeight="1">
      <c r="A12" s="587"/>
    </row>
    <row r="13" spans="1:13" ht="15.4" customHeight="1">
      <c r="A13" s="1115" t="s">
        <v>802</v>
      </c>
      <c r="B13" s="1116"/>
      <c r="D13" s="589">
        <v>0.2</v>
      </c>
      <c r="E13" s="589">
        <v>0.2</v>
      </c>
      <c r="F13" s="590"/>
      <c r="G13" s="590"/>
      <c r="H13" s="589">
        <v>0.2</v>
      </c>
      <c r="I13" s="589">
        <v>0.2</v>
      </c>
      <c r="J13" s="591"/>
      <c r="K13" s="591"/>
    </row>
    <row r="14" spans="1:13" ht="15.4" customHeight="1">
      <c r="B14" s="592"/>
      <c r="D14" s="590"/>
      <c r="E14" s="590"/>
      <c r="F14" s="590"/>
      <c r="G14" s="590"/>
      <c r="H14" s="590"/>
      <c r="I14" s="590"/>
      <c r="J14" s="591"/>
      <c r="K14" s="591"/>
    </row>
    <row r="15" spans="1:13" ht="15.4" customHeight="1">
      <c r="A15" s="601"/>
      <c r="B15" s="601"/>
      <c r="C15" s="594"/>
      <c r="D15" s="598"/>
      <c r="E15" s="476"/>
      <c r="F15" s="476"/>
      <c r="G15" s="571"/>
      <c r="H15" s="476"/>
      <c r="I15" s="476"/>
      <c r="J15" s="595"/>
      <c r="K15" s="595"/>
      <c r="L15" s="640"/>
      <c r="M15" s="641"/>
    </row>
    <row r="16" spans="1:13" ht="15.4" customHeight="1">
      <c r="A16" s="687" t="s">
        <v>803</v>
      </c>
      <c r="B16" s="688"/>
      <c r="C16" s="594" t="s">
        <v>804</v>
      </c>
      <c r="D16" s="669">
        <f>IFERROR(0,INDEX('R2 - Rec to Revenue and Profit'!$E$58:$I$58,MATCH('R8a - Tax Reconciliation'!$B$6,'R2 - Rec to Revenue and Profit'!$E$6:$I$6,0)))</f>
        <v>0</v>
      </c>
      <c r="E16" s="474"/>
      <c r="F16" s="476"/>
      <c r="G16" s="571" t="str">
        <f>IF($B$4="ESO2", $B$4&amp; " " &amp;"PCFM - see Tax Allowance in 'System Operator' worksheet",  $B$4&amp; " " &amp;"PCFM - see Tax Allowance in 'Finance &amp;Tax' worksheet")</f>
        <v>GT2 PCFM - see Tax Allowance in 'Finance &amp;Tax' worksheet</v>
      </c>
      <c r="H16" s="555"/>
      <c r="I16" s="669">
        <f>1/(1-H$13)*H16</f>
        <v>0</v>
      </c>
      <c r="J16" s="595"/>
      <c r="K16" s="595"/>
      <c r="L16" s="640"/>
      <c r="M16" s="641"/>
    </row>
    <row r="17" spans="1:17" ht="15.4" customHeight="1">
      <c r="A17" s="1105" t="s">
        <v>805</v>
      </c>
      <c r="B17" s="1106"/>
      <c r="C17" s="594"/>
      <c r="D17" s="476"/>
      <c r="E17" s="476"/>
      <c r="F17" s="476"/>
      <c r="G17" s="571" t="str">
        <f t="shared" ref="G17:G20" si="0">IF($B$4="ESO2", $B$4&amp; " " &amp;"PCFM - see Tax Allowance in 'System Operator' worksheet",  $B$4&amp; " " &amp;"PCFM - see Tax Allowance in 'Finance &amp;Tax' worksheet")</f>
        <v>GT2 PCFM - see Tax Allowance in 'Finance &amp;Tax' worksheet</v>
      </c>
      <c r="H17" s="555"/>
      <c r="I17" s="669">
        <f t="shared" ref="I17:I20" si="1">1/(1-H$13)*H17</f>
        <v>0</v>
      </c>
      <c r="J17" s="595"/>
      <c r="K17" s="595"/>
      <c r="L17" s="640"/>
      <c r="M17" s="641"/>
    </row>
    <row r="18" spans="1:17" ht="15.4" customHeight="1">
      <c r="A18" s="621" t="s">
        <v>806</v>
      </c>
      <c r="B18" s="622"/>
      <c r="C18" s="594"/>
      <c r="D18" s="476"/>
      <c r="E18" s="476"/>
      <c r="F18" s="476"/>
      <c r="G18" s="571" t="str">
        <f t="shared" si="0"/>
        <v>GT2 PCFM - see Tax Allowance in 'Finance &amp;Tax' worksheet</v>
      </c>
      <c r="H18" s="555"/>
      <c r="I18" s="669">
        <f t="shared" si="1"/>
        <v>0</v>
      </c>
      <c r="J18" s="595"/>
      <c r="K18" s="595"/>
      <c r="L18" s="640"/>
      <c r="M18" s="641"/>
    </row>
    <row r="19" spans="1:17" s="594" customFormat="1">
      <c r="A19" s="621" t="s">
        <v>807</v>
      </c>
      <c r="B19" s="622"/>
      <c r="D19" s="476"/>
      <c r="E19" s="476"/>
      <c r="F19" s="476"/>
      <c r="G19" s="571" t="str">
        <f t="shared" si="0"/>
        <v>GT2 PCFM - see Tax Allowance in 'Finance &amp;Tax' worksheet</v>
      </c>
      <c r="H19" s="555"/>
      <c r="I19" s="669">
        <f t="shared" si="1"/>
        <v>0</v>
      </c>
      <c r="J19" s="595"/>
      <c r="K19" s="595"/>
      <c r="L19" s="640"/>
      <c r="M19" s="641"/>
      <c r="N19" s="689"/>
      <c r="O19" s="689"/>
      <c r="P19" s="689"/>
      <c r="Q19" s="689"/>
    </row>
    <row r="20" spans="1:17" s="594" customFormat="1">
      <c r="A20" s="621" t="s">
        <v>808</v>
      </c>
      <c r="B20" s="622"/>
      <c r="D20" s="476"/>
      <c r="E20" s="476"/>
      <c r="F20" s="476"/>
      <c r="G20" s="571" t="str">
        <f t="shared" si="0"/>
        <v>GT2 PCFM - see Tax Allowance in 'Finance &amp;Tax' worksheet</v>
      </c>
      <c r="H20" s="555"/>
      <c r="I20" s="669">
        <f t="shared" si="1"/>
        <v>0</v>
      </c>
      <c r="J20" s="595"/>
      <c r="K20" s="595"/>
      <c r="L20" s="640"/>
      <c r="M20" s="641"/>
      <c r="N20" s="689"/>
      <c r="O20" s="689"/>
      <c r="P20" s="689"/>
      <c r="Q20" s="689"/>
    </row>
    <row r="21" spans="1:17">
      <c r="A21" s="621" t="s">
        <v>809</v>
      </c>
      <c r="B21" s="622"/>
      <c r="C21" s="594" t="s">
        <v>804</v>
      </c>
      <c r="D21" s="474"/>
      <c r="E21" s="474"/>
      <c r="F21" s="476"/>
      <c r="G21" s="571"/>
      <c r="H21" s="476"/>
      <c r="I21" s="476"/>
      <c r="J21" s="595"/>
      <c r="K21" s="595"/>
      <c r="L21" s="640"/>
      <c r="M21" s="641"/>
    </row>
    <row r="22" spans="1:17">
      <c r="A22" s="621"/>
      <c r="B22" s="622"/>
      <c r="C22" s="594"/>
      <c r="D22" s="476"/>
      <c r="E22" s="476"/>
      <c r="F22" s="476"/>
      <c r="G22" s="571"/>
      <c r="H22" s="476"/>
      <c r="I22" s="476"/>
      <c r="J22" s="595"/>
      <c r="K22" s="595"/>
      <c r="L22" s="640"/>
      <c r="M22" s="641"/>
    </row>
    <row r="23" spans="1:17">
      <c r="A23" s="627" t="s">
        <v>810</v>
      </c>
      <c r="B23" s="628"/>
      <c r="C23" s="642" t="s">
        <v>804</v>
      </c>
      <c r="D23" s="629">
        <f>SUM(D16:D21)</f>
        <v>0</v>
      </c>
      <c r="E23" s="629">
        <f>SUM(E16:E21)</f>
        <v>0</v>
      </c>
      <c r="F23" s="476"/>
      <c r="G23" s="571"/>
      <c r="H23" s="629">
        <f>SUM(H16:H21)</f>
        <v>0</v>
      </c>
      <c r="I23" s="629">
        <f>SUM(I16:I21)</f>
        <v>0</v>
      </c>
      <c r="J23" s="595"/>
      <c r="K23" s="629">
        <f>IF(E$11&lt;&gt;"",IF(OR(B$11="No Filing Date","Enter Filing Date",E$11&lt;D$11),"Error in Filing Date",IF('R8a - Tax Reconciliation'!B$11="Original Filing",D23-I23,E23-I23)),IF(OR(B$11="No Filing Date","Enter Filing Date"),"Error in Filing Date",IF('R8a - Tax Reconciliation'!B$11="Original Filing",D23-I23,E23-I23)))</f>
        <v>0</v>
      </c>
      <c r="L23" s="640"/>
      <c r="M23" s="641"/>
    </row>
    <row r="24" spans="1:17">
      <c r="A24" s="630"/>
      <c r="B24" s="622"/>
      <c r="C24" s="594"/>
      <c r="D24" s="631"/>
      <c r="E24" s="631"/>
      <c r="F24" s="476"/>
      <c r="G24" s="571"/>
      <c r="H24" s="631"/>
      <c r="I24" s="645"/>
      <c r="J24" s="595"/>
      <c r="K24" s="631"/>
      <c r="L24" s="640"/>
      <c r="M24" s="641"/>
    </row>
    <row r="25" spans="1:17">
      <c r="A25" s="619" t="s">
        <v>811</v>
      </c>
      <c r="B25" s="622"/>
      <c r="C25" s="594" t="s">
        <v>804</v>
      </c>
      <c r="D25" s="474"/>
      <c r="E25" s="474"/>
      <c r="F25" s="476"/>
      <c r="G25" s="571" t="str">
        <f t="shared" ref="G25:G26" si="2">IF($B$4="ESO2", $B$4&amp; " " &amp;"PCFM - see Tax Allowance in 'System Operator' worksheet",  $B$4&amp; " " &amp;"PCFM - see Tax Allowance in 'Finance &amp;Tax' worksheet")</f>
        <v>GT2 PCFM - see Tax Allowance in 'Finance &amp;Tax' worksheet</v>
      </c>
      <c r="H25" s="555"/>
      <c r="I25" s="669">
        <f t="shared" ref="I25:I26" si="3">1/(1-H$13)*H25</f>
        <v>0</v>
      </c>
      <c r="J25" s="595"/>
      <c r="K25" s="667">
        <f>IF(E$11&lt;&gt;"",IF(OR(B$11="No Filing Date","Enter Filing Date",E$11&lt;D$11),"Error in Filing Date",IF('R8a - Tax Reconciliation'!B$11="Original Filing",D25-I25,E25-I25)),IF(OR(B$11="No Filing Date","Enter Filing Date"),"Error in Filing Date",IF('R8a - Tax Reconciliation'!B$11="Original Filing",D25-I25,E25-I25)))</f>
        <v>0</v>
      </c>
      <c r="L25" s="640"/>
      <c r="M25" s="641"/>
      <c r="N25" s="689"/>
      <c r="O25" s="689"/>
      <c r="P25" s="689"/>
    </row>
    <row r="26" spans="1:17">
      <c r="A26" s="619" t="s">
        <v>812</v>
      </c>
      <c r="B26" s="622"/>
      <c r="C26" s="594" t="s">
        <v>804</v>
      </c>
      <c r="D26" s="474"/>
      <c r="E26" s="474"/>
      <c r="F26" s="476"/>
      <c r="G26" s="571" t="str">
        <f t="shared" si="2"/>
        <v>GT2 PCFM - see Tax Allowance in 'Finance &amp;Tax' worksheet</v>
      </c>
      <c r="H26" s="555"/>
      <c r="I26" s="669">
        <f t="shared" si="3"/>
        <v>0</v>
      </c>
      <c r="J26" s="595"/>
      <c r="K26" s="667">
        <f>IF(E$11&lt;&gt;"",IF(OR(B$11="No Filing Date","Enter Filing Date",E$11&lt;D$11),"Error in Filing Date",IF('R8a - Tax Reconciliation'!B$11="Original Filing",D26-I26,E26-I26)),IF(OR(B$11="No Filing Date","Enter Filing Date"),"Error in Filing Date",IF('R8a - Tax Reconciliation'!B$11="Original Filing",D26-I26,E26-I26)))</f>
        <v>0</v>
      </c>
      <c r="L26" s="640"/>
      <c r="M26" s="641"/>
      <c r="N26" s="689"/>
      <c r="O26" s="689"/>
      <c r="P26" s="689"/>
    </row>
    <row r="27" spans="1:17">
      <c r="A27" s="1105" t="s">
        <v>813</v>
      </c>
      <c r="B27" s="1106"/>
      <c r="C27" s="594" t="s">
        <v>804</v>
      </c>
      <c r="D27" s="474"/>
      <c r="E27" s="474"/>
      <c r="F27" s="476"/>
      <c r="G27" s="571"/>
      <c r="H27" s="476"/>
      <c r="I27" s="476"/>
      <c r="J27" s="595"/>
      <c r="K27" s="595"/>
      <c r="L27" s="640"/>
      <c r="M27" s="641"/>
      <c r="N27" s="689"/>
      <c r="O27" s="689"/>
      <c r="P27" s="689"/>
    </row>
    <row r="28" spans="1:17">
      <c r="A28" s="1105" t="s">
        <v>814</v>
      </c>
      <c r="B28" s="1106"/>
      <c r="C28" s="594" t="s">
        <v>804</v>
      </c>
      <c r="D28" s="474"/>
      <c r="E28" s="474"/>
      <c r="F28" s="476"/>
      <c r="G28" s="571"/>
      <c r="H28" s="476"/>
      <c r="I28" s="476"/>
      <c r="J28" s="595"/>
      <c r="K28" s="595"/>
      <c r="L28" s="640"/>
      <c r="M28" s="641"/>
      <c r="N28" s="689"/>
      <c r="O28" s="689"/>
      <c r="P28" s="689"/>
    </row>
    <row r="29" spans="1:17">
      <c r="A29" s="621" t="s">
        <v>815</v>
      </c>
      <c r="B29" s="622"/>
      <c r="C29" s="594" t="s">
        <v>804</v>
      </c>
      <c r="D29" s="474"/>
      <c r="E29" s="474"/>
      <c r="F29" s="476"/>
      <c r="G29" s="571"/>
      <c r="H29" s="476"/>
      <c r="I29" s="476"/>
      <c r="J29" s="595"/>
      <c r="K29" s="595"/>
      <c r="L29" s="640"/>
      <c r="M29" s="641"/>
      <c r="N29" s="689"/>
      <c r="O29" s="689"/>
      <c r="P29" s="689"/>
    </row>
    <row r="30" spans="1:17">
      <c r="A30" s="621" t="s">
        <v>816</v>
      </c>
      <c r="B30" s="622"/>
      <c r="C30" s="594" t="s">
        <v>804</v>
      </c>
      <c r="D30" s="474"/>
      <c r="E30" s="474"/>
      <c r="F30" s="476"/>
      <c r="G30" s="571"/>
      <c r="H30" s="476"/>
      <c r="I30" s="476"/>
      <c r="J30" s="595"/>
      <c r="K30" s="595"/>
      <c r="L30" s="640"/>
      <c r="M30" s="641"/>
      <c r="N30" s="689"/>
      <c r="O30" s="689"/>
      <c r="P30" s="689"/>
    </row>
    <row r="31" spans="1:17">
      <c r="A31" s="621"/>
      <c r="B31" s="622"/>
      <c r="C31" s="594"/>
      <c r="D31" s="598"/>
      <c r="E31" s="598"/>
      <c r="F31" s="476"/>
      <c r="G31" s="571"/>
      <c r="H31" s="476"/>
      <c r="I31" s="476"/>
      <c r="J31" s="595"/>
      <c r="K31" s="595"/>
      <c r="L31" s="640"/>
      <c r="M31" s="641"/>
      <c r="N31" s="689"/>
      <c r="O31" s="689"/>
      <c r="P31" s="689"/>
    </row>
    <row r="32" spans="1:17">
      <c r="A32" s="632" t="s">
        <v>817</v>
      </c>
      <c r="B32" s="628"/>
      <c r="C32" s="642" t="s">
        <v>804</v>
      </c>
      <c r="D32" s="629">
        <f>SUM(D23:D31)</f>
        <v>0</v>
      </c>
      <c r="E32" s="629">
        <f>SUM(E23:E31)</f>
        <v>0</v>
      </c>
      <c r="F32" s="476"/>
      <c r="G32" s="643" t="s">
        <v>818</v>
      </c>
      <c r="H32" s="629">
        <f>SUM(H23:H31)</f>
        <v>0</v>
      </c>
      <c r="I32" s="629">
        <f>SUM(I23:I31)</f>
        <v>0</v>
      </c>
      <c r="J32" s="595"/>
      <c r="K32" s="629">
        <f>IF(E$11&lt;&gt;"",IF(OR(B$11="No Filing Date","Enter Filing Date",E$11&lt;D$11),"Error in Filing Date",IF('R8a - Tax Reconciliation'!B$11="Original Filing",D32-I32,E32-I32)),IF(OR(B$11="No Filing Date","Enter Filing Date"),"Error in Filing Date",IF('R8a - Tax Reconciliation'!B$11="Original Filing",D32-I32,E32-I32)))</f>
        <v>0</v>
      </c>
      <c r="L32" s="640"/>
      <c r="M32" s="644"/>
    </row>
    <row r="33" spans="1:17">
      <c r="A33" s="633"/>
      <c r="B33" s="601"/>
      <c r="C33" s="594"/>
      <c r="D33" s="595"/>
      <c r="E33" s="595"/>
      <c r="F33" s="476"/>
      <c r="G33" s="571"/>
      <c r="J33" s="595"/>
      <c r="K33" s="645"/>
      <c r="L33" s="640"/>
      <c r="M33" s="641"/>
      <c r="N33" s="690"/>
      <c r="O33" s="690"/>
      <c r="P33" s="690"/>
    </row>
    <row r="34" spans="1:17">
      <c r="A34" s="691" t="s">
        <v>819</v>
      </c>
      <c r="B34" s="688"/>
      <c r="C34" s="594"/>
      <c r="D34" s="598"/>
      <c r="E34" s="598"/>
      <c r="F34" s="476"/>
      <c r="G34" s="571"/>
      <c r="H34" s="476"/>
      <c r="I34" s="476"/>
      <c r="J34" s="595"/>
      <c r="K34" s="595"/>
      <c r="L34" s="640"/>
      <c r="M34" s="641"/>
      <c r="N34" s="689"/>
      <c r="O34" s="689"/>
      <c r="P34" s="689"/>
    </row>
    <row r="35" spans="1:17">
      <c r="A35" s="621"/>
      <c r="B35" s="622"/>
      <c r="C35" s="594"/>
      <c r="D35" s="598"/>
      <c r="E35" s="598"/>
      <c r="F35" s="476"/>
      <c r="G35" s="571"/>
      <c r="H35" s="476"/>
      <c r="I35" s="476"/>
      <c r="J35" s="595"/>
      <c r="K35" s="595"/>
      <c r="L35" s="640"/>
      <c r="M35" s="641"/>
      <c r="N35" s="689"/>
      <c r="O35" s="689"/>
      <c r="P35" s="689"/>
    </row>
    <row r="36" spans="1:17">
      <c r="A36" s="1103" t="s">
        <v>820</v>
      </c>
      <c r="B36" s="1104"/>
      <c r="D36" s="596"/>
      <c r="E36" s="596"/>
      <c r="F36" s="596"/>
      <c r="G36" s="599"/>
      <c r="H36" s="596"/>
      <c r="I36" s="596"/>
      <c r="J36" s="596"/>
      <c r="K36" s="596"/>
      <c r="L36" s="646"/>
      <c r="M36" s="647"/>
      <c r="N36" s="642"/>
      <c r="O36" s="642"/>
      <c r="P36" s="642"/>
      <c r="Q36" s="642"/>
    </row>
    <row r="37" spans="1:17">
      <c r="A37" s="1105" t="s">
        <v>821</v>
      </c>
      <c r="B37" s="1106"/>
      <c r="C37" s="594" t="s">
        <v>804</v>
      </c>
      <c r="D37" s="474"/>
      <c r="E37" s="474"/>
      <c r="F37" s="476"/>
      <c r="G37" s="571"/>
      <c r="H37" s="476"/>
      <c r="I37" s="476"/>
      <c r="J37" s="595"/>
      <c r="K37" s="476"/>
      <c r="L37" s="476"/>
      <c r="M37" s="476"/>
      <c r="N37" s="642"/>
      <c r="O37" s="642"/>
      <c r="P37" s="642"/>
      <c r="Q37" s="642"/>
    </row>
    <row r="38" spans="1:17">
      <c r="A38" s="648"/>
      <c r="B38" s="600"/>
      <c r="D38" s="596"/>
      <c r="E38" s="596"/>
      <c r="F38" s="596"/>
      <c r="G38" s="599"/>
      <c r="H38" s="596"/>
      <c r="I38" s="596"/>
      <c r="J38" s="596"/>
      <c r="K38" s="476"/>
      <c r="L38" s="476"/>
      <c r="M38" s="476"/>
      <c r="N38" s="642"/>
      <c r="O38" s="642"/>
      <c r="P38" s="642"/>
      <c r="Q38" s="642"/>
    </row>
    <row r="39" spans="1:17" s="594" customFormat="1">
      <c r="A39" s="1103" t="s">
        <v>822</v>
      </c>
      <c r="B39" s="1104"/>
      <c r="C39" s="581"/>
      <c r="D39" s="596"/>
      <c r="E39" s="596"/>
      <c r="F39" s="596"/>
      <c r="G39" s="599"/>
      <c r="H39" s="596"/>
      <c r="I39" s="596"/>
      <c r="J39" s="596"/>
      <c r="K39" s="476"/>
      <c r="L39" s="476"/>
      <c r="M39" s="476"/>
    </row>
    <row r="40" spans="1:17" s="594" customFormat="1">
      <c r="A40" s="1105" t="s">
        <v>821</v>
      </c>
      <c r="B40" s="1106"/>
      <c r="C40" s="594" t="s">
        <v>804</v>
      </c>
      <c r="D40" s="474"/>
      <c r="E40" s="474"/>
      <c r="F40" s="476"/>
      <c r="G40" s="571"/>
      <c r="H40" s="476"/>
      <c r="I40" s="476"/>
      <c r="J40" s="595"/>
      <c r="K40" s="476"/>
      <c r="L40" s="476"/>
      <c r="M40" s="476"/>
    </row>
    <row r="41" spans="1:17">
      <c r="A41" s="648"/>
      <c r="B41" s="649"/>
      <c r="D41" s="596"/>
      <c r="E41" s="596"/>
      <c r="F41" s="596"/>
      <c r="G41" s="599"/>
      <c r="H41" s="596"/>
      <c r="I41" s="596"/>
      <c r="J41" s="596"/>
      <c r="K41" s="476"/>
      <c r="L41" s="476"/>
      <c r="M41" s="476"/>
      <c r="N41" s="642"/>
      <c r="O41" s="642"/>
      <c r="P41" s="642"/>
      <c r="Q41" s="642"/>
    </row>
    <row r="42" spans="1:17">
      <c r="A42" s="1103" t="s">
        <v>823</v>
      </c>
      <c r="B42" s="1104"/>
      <c r="D42" s="596"/>
      <c r="E42" s="596"/>
      <c r="F42" s="596"/>
      <c r="G42" s="599"/>
      <c r="H42" s="596"/>
      <c r="I42" s="596"/>
      <c r="J42" s="596"/>
      <c r="K42" s="476"/>
      <c r="L42" s="476"/>
      <c r="M42" s="476"/>
      <c r="N42" s="642"/>
      <c r="O42" s="642"/>
      <c r="P42" s="642"/>
      <c r="Q42" s="642"/>
    </row>
    <row r="43" spans="1:17" s="594" customFormat="1">
      <c r="A43" s="1107" t="s">
        <v>821</v>
      </c>
      <c r="B43" s="1108"/>
      <c r="C43" s="594" t="s">
        <v>804</v>
      </c>
      <c r="D43" s="474"/>
      <c r="E43" s="474"/>
      <c r="F43" s="476"/>
      <c r="G43" s="571"/>
      <c r="H43" s="476"/>
      <c r="I43" s="476"/>
      <c r="J43" s="595"/>
      <c r="K43" s="476"/>
      <c r="L43" s="476"/>
      <c r="M43" s="476"/>
    </row>
    <row r="44" spans="1:17" s="594" customFormat="1">
      <c r="A44" s="601"/>
      <c r="B44" s="601"/>
      <c r="D44" s="476"/>
      <c r="E44" s="476"/>
      <c r="F44" s="476"/>
      <c r="G44" s="571"/>
      <c r="H44" s="476"/>
      <c r="I44" s="476"/>
      <c r="J44" s="595"/>
      <c r="K44" s="595"/>
      <c r="L44" s="640"/>
      <c r="M44" s="641"/>
      <c r="N44" s="689"/>
      <c r="O44" s="689"/>
      <c r="P44" s="689"/>
      <c r="Q44" s="689"/>
    </row>
    <row r="45" spans="1:17" s="594" customFormat="1">
      <c r="A45" s="632" t="s">
        <v>824</v>
      </c>
      <c r="B45" s="628"/>
      <c r="C45" s="642" t="s">
        <v>804</v>
      </c>
      <c r="D45" s="629">
        <f>SUM(D32:D44)</f>
        <v>0</v>
      </c>
      <c r="E45" s="629">
        <f>SUM(E32:E44)</f>
        <v>0</v>
      </c>
      <c r="F45" s="476"/>
      <c r="G45" s="571"/>
      <c r="H45" s="629">
        <f>SUM(H32:H44)</f>
        <v>0</v>
      </c>
      <c r="I45" s="629">
        <f>SUM(I32:I44)</f>
        <v>0</v>
      </c>
      <c r="J45" s="595"/>
      <c r="K45" s="629">
        <f>IF(E$11&lt;&gt;"",IF(OR(B$11="No Filing Date","Enter Filing Date",E$11&lt;D$11),"Error in Filing Date",IF('R8a - Tax Reconciliation'!B$11="Original Filing",D45-I45,E45-I45)),IF(OR(B$11="No Filing Date","Enter Filing Date"),"Error in Filing Date",IF('R8a - Tax Reconciliation'!B$11="Original Filing",D45-I45,E45-I45)))</f>
        <v>0</v>
      </c>
      <c r="L45" s="640"/>
      <c r="M45" s="644"/>
      <c r="N45" s="689"/>
      <c r="O45" s="689"/>
      <c r="P45" s="689"/>
      <c r="Q45" s="689"/>
    </row>
    <row r="46" spans="1:17" s="594" customFormat="1">
      <c r="A46" s="602"/>
      <c r="B46" s="602"/>
      <c r="C46" s="581"/>
      <c r="D46" s="472"/>
      <c r="E46" s="472"/>
      <c r="F46" s="472"/>
      <c r="G46" s="572"/>
      <c r="H46" s="472"/>
      <c r="I46" s="472"/>
      <c r="J46" s="596"/>
      <c r="K46" s="596"/>
      <c r="L46" s="646"/>
      <c r="M46" s="647"/>
      <c r="N46" s="689"/>
      <c r="O46" s="689"/>
      <c r="P46" s="689"/>
      <c r="Q46" s="689"/>
    </row>
    <row r="47" spans="1:17" s="594" customFormat="1">
      <c r="A47" s="692" t="s">
        <v>825</v>
      </c>
      <c r="B47" s="693"/>
      <c r="C47" s="581"/>
      <c r="D47" s="472"/>
      <c r="E47" s="472"/>
      <c r="F47" s="472"/>
      <c r="G47" s="572"/>
      <c r="H47" s="472"/>
      <c r="I47" s="472"/>
      <c r="J47" s="596"/>
      <c r="K47" s="596"/>
      <c r="L47" s="646"/>
      <c r="M47" s="647"/>
      <c r="N47" s="689"/>
      <c r="O47" s="689"/>
      <c r="P47" s="689"/>
      <c r="Q47" s="689"/>
    </row>
    <row r="48" spans="1:17" s="594" customFormat="1">
      <c r="A48" s="603"/>
      <c r="B48" s="604"/>
      <c r="C48" s="581"/>
      <c r="D48" s="472"/>
      <c r="E48" s="472"/>
      <c r="F48" s="472"/>
      <c r="G48" s="572"/>
      <c r="H48" s="472"/>
      <c r="I48" s="472"/>
      <c r="J48" s="596"/>
      <c r="K48" s="596"/>
      <c r="L48" s="646"/>
      <c r="M48" s="647"/>
      <c r="N48" s="689"/>
      <c r="O48" s="689"/>
      <c r="P48" s="689"/>
      <c r="Q48" s="689"/>
    </row>
    <row r="49" spans="1:23" s="594" customFormat="1">
      <c r="A49" s="623" t="s">
        <v>826</v>
      </c>
      <c r="B49" s="604"/>
      <c r="C49" s="581"/>
      <c r="D49" s="472"/>
      <c r="E49" s="472"/>
      <c r="F49" s="472"/>
      <c r="G49" s="572"/>
      <c r="H49" s="472"/>
      <c r="I49" s="472"/>
      <c r="J49" s="596"/>
      <c r="K49" s="596"/>
      <c r="L49" s="646"/>
      <c r="M49" s="647"/>
      <c r="N49" s="689"/>
      <c r="O49" s="689"/>
      <c r="P49" s="689"/>
      <c r="Q49" s="689"/>
    </row>
    <row r="50" spans="1:23" s="594" customFormat="1">
      <c r="A50" s="621" t="s">
        <v>827</v>
      </c>
      <c r="B50" s="622"/>
      <c r="C50" s="594" t="s">
        <v>804</v>
      </c>
      <c r="D50" s="474"/>
      <c r="E50" s="474"/>
      <c r="F50" s="476"/>
      <c r="G50" s="571"/>
      <c r="H50" s="474"/>
      <c r="I50" s="669">
        <f t="shared" ref="I50:I62" si="4">1/(1-H$13)*H50</f>
        <v>0</v>
      </c>
      <c r="J50" s="595"/>
      <c r="K50" s="667">
        <f>IF(E$11&lt;&gt;"",IF(OR(B$11="No Filing Date","Enter Filing Date",E$11&lt;D$11),"Error in Filing Date",IF('R8a - Tax Reconciliation'!B$11="Original Filing",D50-I50,E50-I50)),IF(OR(B$11="No Filing Date","Enter Filing Date"),"Error in Filing Date",IF('R8a - Tax Reconciliation'!B$11="Original Filing",D50-I50,E50-I50)))</f>
        <v>0</v>
      </c>
      <c r="L50" s="640"/>
      <c r="M50" s="650"/>
    </row>
    <row r="51" spans="1:23" s="594" customFormat="1">
      <c r="A51" s="621" t="s">
        <v>828</v>
      </c>
      <c r="B51" s="622"/>
      <c r="C51" s="594" t="s">
        <v>804</v>
      </c>
      <c r="D51" s="474"/>
      <c r="E51" s="474"/>
      <c r="F51" s="476"/>
      <c r="G51" s="571"/>
      <c r="H51" s="474"/>
      <c r="I51" s="669">
        <f t="shared" si="4"/>
        <v>0</v>
      </c>
      <c r="J51" s="595"/>
      <c r="K51" s="667">
        <f>IF(E$11&lt;&gt;"",IF(OR(B$11="No Filing Date","Enter Filing Date",E$11&lt;D$11),"Error in Filing Date",IF('R8a - Tax Reconciliation'!B$11="Original Filing",D51-I51,E51-I51)),IF(OR(B$11="No Filing Date","Enter Filing Date"),"Error in Filing Date",IF('R8a - Tax Reconciliation'!B$11="Original Filing",D51-I51,E51-I51)))</f>
        <v>0</v>
      </c>
      <c r="L51" s="640"/>
      <c r="M51" s="650"/>
      <c r="N51" s="689"/>
      <c r="O51" s="689"/>
      <c r="P51" s="689"/>
      <c r="Q51" s="689"/>
    </row>
    <row r="52" spans="1:23" s="594" customFormat="1">
      <c r="A52" s="621" t="s">
        <v>829</v>
      </c>
      <c r="B52" s="622"/>
      <c r="C52" s="594" t="s">
        <v>804</v>
      </c>
      <c r="D52" s="474"/>
      <c r="E52" s="474"/>
      <c r="F52" s="476"/>
      <c r="G52" s="571"/>
      <c r="H52" s="474"/>
      <c r="I52" s="669">
        <f t="shared" si="4"/>
        <v>0</v>
      </c>
      <c r="J52" s="595"/>
      <c r="K52" s="667">
        <f>IF(E$11&lt;&gt;"",IF(OR(B$11="No Filing Date","Enter Filing Date",E$11&lt;D$11),"Error in Filing Date",IF('R8a - Tax Reconciliation'!B$11="Original Filing",D52-I52,E52-I52)),IF(OR(B$11="No Filing Date","Enter Filing Date"),"Error in Filing Date",IF('R8a - Tax Reconciliation'!B$11="Original Filing",D52-I52,E52-I52)))</f>
        <v>0</v>
      </c>
      <c r="L52" s="640"/>
      <c r="M52" s="650"/>
    </row>
    <row r="53" spans="1:23">
      <c r="A53" s="621" t="s">
        <v>816</v>
      </c>
      <c r="B53" s="622"/>
      <c r="C53" s="594" t="s">
        <v>804</v>
      </c>
      <c r="D53" s="474"/>
      <c r="E53" s="474"/>
      <c r="F53" s="476"/>
      <c r="G53" s="571"/>
      <c r="H53" s="474"/>
      <c r="I53" s="669">
        <f t="shared" si="4"/>
        <v>0</v>
      </c>
      <c r="J53" s="595"/>
      <c r="K53" s="667">
        <f>IF(E$11&lt;&gt;"",IF(OR(B$11="No Filing Date","Enter Filing Date",E$11&lt;D$11),"Error in Filing Date",IF('R8a - Tax Reconciliation'!B$11="Original Filing",D53-I53,E53-I53)),IF(OR(B$11="No Filing Date","Enter Filing Date"),"Error in Filing Date",IF('R8a - Tax Reconciliation'!B$11="Original Filing",D53-I53,E53-I53)))</f>
        <v>0</v>
      </c>
      <c r="L53" s="640"/>
      <c r="M53" s="650"/>
      <c r="N53" s="642"/>
      <c r="O53" s="642"/>
      <c r="P53" s="642"/>
      <c r="Q53" s="642"/>
    </row>
    <row r="54" spans="1:23">
      <c r="A54" s="605" t="s">
        <v>830</v>
      </c>
      <c r="B54" s="651"/>
      <c r="C54" s="594" t="s">
        <v>804</v>
      </c>
      <c r="D54" s="474"/>
      <c r="E54" s="474"/>
      <c r="F54" s="476"/>
      <c r="G54" s="571"/>
      <c r="H54" s="474"/>
      <c r="I54" s="669">
        <f t="shared" si="4"/>
        <v>0</v>
      </c>
      <c r="J54" s="595"/>
      <c r="K54" s="667">
        <f>IF(E$11&lt;&gt;"",IF(OR(B$11="No Filing Date","Enter Filing Date",E$11&lt;D$11),"Error in Filing Date",IF('R8a - Tax Reconciliation'!B$11="Original Filing",D54-I54,E54-I54)),IF(OR(B$11="No Filing Date","Enter Filing Date"),"Error in Filing Date",IF('R8a - Tax Reconciliation'!B$11="Original Filing",D54-I54,E54-I54)))</f>
        <v>0</v>
      </c>
      <c r="L54" s="594"/>
      <c r="M54" s="650"/>
    </row>
    <row r="55" spans="1:23">
      <c r="A55" s="1105" t="s">
        <v>831</v>
      </c>
      <c r="B55" s="1106"/>
      <c r="C55" s="594" t="s">
        <v>804</v>
      </c>
      <c r="D55" s="474"/>
      <c r="E55" s="474"/>
      <c r="F55" s="475"/>
      <c r="G55" s="571"/>
      <c r="H55" s="474"/>
      <c r="I55" s="669">
        <f t="shared" si="4"/>
        <v>0</v>
      </c>
      <c r="J55" s="652"/>
      <c r="K55" s="667">
        <f>IF(E$11&lt;&gt;"",IF(OR(B$11="No Filing Date","Enter Filing Date",E$11&lt;D$11),"Error in Filing Date",IF('R8a - Tax Reconciliation'!B$11="Original Filing",D55-I55,E55-I55)),IF(OR(B$11="No Filing Date","Enter Filing Date"),"Error in Filing Date",IF('R8a - Tax Reconciliation'!B$11="Original Filing",D55-I55,E55-I55)))</f>
        <v>0</v>
      </c>
      <c r="L55" s="640"/>
      <c r="M55" s="650"/>
    </row>
    <row r="56" spans="1:23">
      <c r="A56" s="606" t="s">
        <v>832</v>
      </c>
      <c r="B56" s="651"/>
      <c r="C56" s="594" t="s">
        <v>804</v>
      </c>
      <c r="D56" s="474"/>
      <c r="E56" s="474"/>
      <c r="F56" s="595"/>
      <c r="G56" s="571" t="str">
        <f t="shared" ref="G56" si="5">IF($B$4="ESO2", $B$4&amp; " " &amp;"PCFM - see Tax Allowance in 'System Operator' worksheet",  $B$4&amp; " " &amp;"PCFM - see Tax Allowance in 'Finance &amp;Tax' worksheet")</f>
        <v>GT2 PCFM - see Tax Allowance in 'Finance &amp;Tax' worksheet</v>
      </c>
      <c r="H56" s="555"/>
      <c r="I56" s="669">
        <f t="shared" si="4"/>
        <v>0</v>
      </c>
      <c r="J56" s="653"/>
      <c r="K56" s="667">
        <f>IF(E$11&lt;&gt;"",IF(OR(B$11="No Filing Date","Enter Filing Date",E$11&lt;D$11),"Error in Filing Date",IF('R8a - Tax Reconciliation'!B$11="Original Filing",D56-I56,E56-I56)),IF(OR(B$11="No Filing Date","Enter Filing Date"),"Error in Filing Date",IF('R8a - Tax Reconciliation'!B$11="Original Filing",D56-I56,E56-I56)))</f>
        <v>0</v>
      </c>
      <c r="L56" s="640"/>
      <c r="M56" s="650"/>
    </row>
    <row r="57" spans="1:23">
      <c r="A57" s="621" t="s">
        <v>833</v>
      </c>
      <c r="B57" s="622"/>
      <c r="C57" s="594" t="s">
        <v>804</v>
      </c>
      <c r="D57" s="474"/>
      <c r="E57" s="474"/>
      <c r="F57" s="476"/>
      <c r="G57" s="571"/>
      <c r="H57" s="474"/>
      <c r="I57" s="669">
        <f t="shared" si="4"/>
        <v>0</v>
      </c>
      <c r="J57" s="595"/>
      <c r="K57" s="667">
        <f>IF(E$11&lt;&gt;"",IF(OR(B$11="No Filing Date","Enter Filing Date",E$11&lt;D$11),"Error in Filing Date",IF('R8a - Tax Reconciliation'!B$11="Original Filing",D57-I57,E57-I57)),IF(OR(B$11="No Filing Date","Enter Filing Date"),"Error in Filing Date",IF('R8a - Tax Reconciliation'!B$11="Original Filing",D57-I57,E57-I57)))</f>
        <v>0</v>
      </c>
      <c r="L57" s="640"/>
      <c r="M57" s="650"/>
      <c r="N57" s="642"/>
      <c r="O57" s="642"/>
      <c r="P57" s="642"/>
      <c r="Q57" s="642"/>
    </row>
    <row r="58" spans="1:23">
      <c r="A58" s="621" t="s">
        <v>834</v>
      </c>
      <c r="B58" s="622"/>
      <c r="C58" s="594" t="s">
        <v>804</v>
      </c>
      <c r="D58" s="474"/>
      <c r="E58" s="474"/>
      <c r="F58" s="476"/>
      <c r="G58" s="571"/>
      <c r="H58" s="474"/>
      <c r="I58" s="669">
        <f t="shared" si="4"/>
        <v>0</v>
      </c>
      <c r="J58" s="595"/>
      <c r="K58" s="667">
        <f>IF(E$11&lt;&gt;"",IF(OR(B$11="No Filing Date","Enter Filing Date",E$11&lt;D$11),"Error in Filing Date",IF('R8a - Tax Reconciliation'!B$11="Original Filing",D58-I58,E58-I58)),IF(OR(B$11="No Filing Date","Enter Filing Date"),"Error in Filing Date",IF('R8a - Tax Reconciliation'!B$11="Original Filing",D58-I58,E58-I58)))</f>
        <v>0</v>
      </c>
      <c r="L58" s="640"/>
      <c r="M58" s="650"/>
      <c r="N58" s="689"/>
      <c r="O58" s="689"/>
      <c r="P58" s="689"/>
      <c r="Q58" s="689"/>
      <c r="R58" s="594"/>
      <c r="S58" s="594"/>
      <c r="T58" s="594"/>
      <c r="U58" s="594"/>
      <c r="V58" s="594"/>
      <c r="W58" s="594"/>
    </row>
    <row r="59" spans="1:23">
      <c r="A59" s="621" t="s">
        <v>835</v>
      </c>
      <c r="B59" s="622"/>
      <c r="C59" s="594" t="s">
        <v>804</v>
      </c>
      <c r="D59" s="474"/>
      <c r="E59" s="474"/>
      <c r="F59" s="476"/>
      <c r="G59" s="571"/>
      <c r="H59" s="474"/>
      <c r="I59" s="669">
        <f t="shared" si="4"/>
        <v>0</v>
      </c>
      <c r="J59" s="595"/>
      <c r="K59" s="667">
        <f>IF(E$11&lt;&gt;"",IF(OR(B$11="No Filing Date","Enter Filing Date",E$11&lt;D$11),"Error in Filing Date",IF('R8a - Tax Reconciliation'!B$11="Original Filing",D59-I59,E59-I59)),IF(OR(B$11="No Filing Date","Enter Filing Date"),"Error in Filing Date",IF('R8a - Tax Reconciliation'!B$11="Original Filing",D59-I59,E59-I59)))</f>
        <v>0</v>
      </c>
      <c r="L59" s="640"/>
      <c r="M59" s="650"/>
      <c r="N59" s="689"/>
      <c r="O59" s="689"/>
      <c r="P59" s="689"/>
      <c r="Q59" s="689"/>
      <c r="R59" s="594"/>
      <c r="S59" s="594"/>
      <c r="T59" s="594"/>
      <c r="U59" s="594"/>
      <c r="V59" s="594"/>
      <c r="W59" s="594"/>
    </row>
    <row r="60" spans="1:23">
      <c r="A60" s="621" t="s">
        <v>836</v>
      </c>
      <c r="B60" s="622"/>
      <c r="C60" s="594" t="s">
        <v>804</v>
      </c>
      <c r="D60" s="474"/>
      <c r="E60" s="474"/>
      <c r="F60" s="476"/>
      <c r="G60" s="571"/>
      <c r="H60" s="474"/>
      <c r="I60" s="669">
        <f t="shared" si="4"/>
        <v>0</v>
      </c>
      <c r="J60" s="595"/>
      <c r="K60" s="667">
        <f>IF(E$11&lt;&gt;"",IF(OR(B$11="No Filing Date","Enter Filing Date",E$11&lt;D$11),"Error in Filing Date",IF('R8a - Tax Reconciliation'!B$11="Original Filing",D60-I60,E60-I60)),IF(OR(B$11="No Filing Date","Enter Filing Date"),"Error in Filing Date",IF('R8a - Tax Reconciliation'!B$11="Original Filing",D60-I60,E60-I60)))</f>
        <v>0</v>
      </c>
      <c r="L60" s="640"/>
      <c r="M60" s="650"/>
    </row>
    <row r="61" spans="1:23">
      <c r="A61" s="621" t="s">
        <v>837</v>
      </c>
      <c r="B61" s="622"/>
      <c r="C61" s="594" t="s">
        <v>804</v>
      </c>
      <c r="D61" s="474"/>
      <c r="E61" s="474"/>
      <c r="F61" s="476"/>
      <c r="G61" s="571"/>
      <c r="H61" s="474"/>
      <c r="I61" s="669">
        <f t="shared" si="4"/>
        <v>0</v>
      </c>
      <c r="J61" s="595"/>
      <c r="K61" s="667">
        <f>IF(E$11&lt;&gt;"",IF(OR(B$11="No Filing Date","Enter Filing Date",E$11&lt;D$11),"Error in Filing Date",IF('R8a - Tax Reconciliation'!B$11="Original Filing",D61-I61,E61-I61)),IF(OR(B$11="No Filing Date","Enter Filing Date"),"Error in Filing Date",IF('R8a - Tax Reconciliation'!B$11="Original Filing",D61-I61,E61-I61)))</f>
        <v>0</v>
      </c>
      <c r="L61" s="640"/>
      <c r="M61" s="650"/>
    </row>
    <row r="62" spans="1:23">
      <c r="A62" s="606" t="s">
        <v>821</v>
      </c>
      <c r="B62" s="651"/>
      <c r="C62" s="594" t="s">
        <v>804</v>
      </c>
      <c r="D62" s="474"/>
      <c r="E62" s="474"/>
      <c r="F62" s="595"/>
      <c r="G62" s="571"/>
      <c r="H62" s="474"/>
      <c r="I62" s="669">
        <f t="shared" si="4"/>
        <v>0</v>
      </c>
      <c r="J62" s="595"/>
      <c r="K62" s="667">
        <f>IF(E$11&lt;&gt;"",IF(OR(B$11="No Filing Date","Enter Filing Date",E$11&lt;D$11),"Error in Filing Date",IF('R8a - Tax Reconciliation'!B$11="Original Filing",D62-I62,E62-I62)),IF(OR(B$11="No Filing Date","Enter Filing Date"),"Error in Filing Date",IF('R8a - Tax Reconciliation'!B$11="Original Filing",D62-I62,E62-I62)))</f>
        <v>0</v>
      </c>
      <c r="L62" s="640"/>
      <c r="M62" s="644"/>
    </row>
    <row r="63" spans="1:23">
      <c r="A63" s="648"/>
      <c r="B63" s="649"/>
      <c r="D63" s="596"/>
      <c r="E63" s="596"/>
      <c r="F63" s="596"/>
      <c r="G63" s="599"/>
      <c r="H63" s="596"/>
      <c r="I63" s="596"/>
      <c r="J63" s="596"/>
      <c r="K63" s="596"/>
      <c r="L63" s="646"/>
      <c r="M63" s="647"/>
      <c r="N63" s="642"/>
      <c r="O63" s="642"/>
      <c r="P63" s="642"/>
      <c r="Q63" s="642"/>
    </row>
    <row r="64" spans="1:23">
      <c r="A64" s="597" t="s">
        <v>838</v>
      </c>
      <c r="B64" s="649"/>
      <c r="D64" s="596"/>
      <c r="E64" s="596"/>
      <c r="F64" s="596"/>
      <c r="G64" s="599"/>
      <c r="H64" s="596"/>
      <c r="I64" s="596"/>
      <c r="J64" s="596"/>
      <c r="K64" s="596"/>
      <c r="L64" s="646"/>
      <c r="M64" s="647"/>
    </row>
    <row r="65" spans="1:18">
      <c r="A65" s="606" t="s">
        <v>839</v>
      </c>
      <c r="B65" s="651"/>
      <c r="C65" s="594" t="s">
        <v>804</v>
      </c>
      <c r="D65" s="474"/>
      <c r="E65" s="474"/>
      <c r="F65" s="595"/>
      <c r="G65" s="571" t="str">
        <f t="shared" ref="G65:G67" si="6">IF($B$4="ESO2", $B$4&amp; " " &amp;"PCFM - see Tax Allowance in 'System Operator' worksheet",  $B$4&amp; " " &amp;"PCFM - see Tax Allowance in 'Finance &amp;Tax' worksheet")</f>
        <v>GT2 PCFM - see Tax Allowance in 'Finance &amp;Tax' worksheet</v>
      </c>
      <c r="H65" s="555"/>
      <c r="I65" s="669">
        <f>1/(1-H$13)*H65</f>
        <v>0</v>
      </c>
      <c r="J65" s="653"/>
      <c r="K65" s="667">
        <f>IF(E$11&lt;&gt;"",IF(OR(B$11="No Filing Date","Enter Filing Date",E$11&lt;D$11),"Error in Filing Date",IF('R8a - Tax Reconciliation'!B$11="Original Filing",D65-I65,E65-I65)),IF(OR(B$11="No Filing Date","Enter Filing Date"),"Error in Filing Date",IF('R8a - Tax Reconciliation'!B$11="Original Filing",D65-I65,E65-I65)))</f>
        <v>0</v>
      </c>
      <c r="L65" s="640"/>
      <c r="M65" s="650"/>
      <c r="N65" s="642"/>
      <c r="O65" s="642"/>
      <c r="P65" s="642"/>
      <c r="Q65" s="642"/>
    </row>
    <row r="66" spans="1:18">
      <c r="A66" s="606" t="s">
        <v>840</v>
      </c>
      <c r="B66" s="651"/>
      <c r="C66" s="594" t="s">
        <v>804</v>
      </c>
      <c r="D66" s="474"/>
      <c r="E66" s="474"/>
      <c r="F66" s="595"/>
      <c r="G66" s="571" t="str">
        <f t="shared" si="6"/>
        <v>GT2 PCFM - see Tax Allowance in 'Finance &amp;Tax' worksheet</v>
      </c>
      <c r="H66" s="555"/>
      <c r="I66" s="669">
        <f t="shared" ref="I66:I67" si="7">1/(1-H$13)*H66</f>
        <v>0</v>
      </c>
      <c r="J66" s="653"/>
      <c r="K66" s="667">
        <f>IF(E$11&lt;&gt;"",IF(OR(B$11="No Filing Date","Enter Filing Date",E$11&lt;D$11),"Error in Filing Date",IF('R8a - Tax Reconciliation'!B$11="Original Filing",D66-I66,E66-I66)),IF(OR(B$11="No Filing Date","Enter Filing Date"),"Error in Filing Date",IF('R8a - Tax Reconciliation'!B$11="Original Filing",D66-I66,E66-I66)))</f>
        <v>0</v>
      </c>
      <c r="L66" s="640"/>
      <c r="M66" s="650"/>
      <c r="N66" s="642"/>
      <c r="O66" s="642"/>
      <c r="P66" s="642"/>
      <c r="Q66" s="642"/>
    </row>
    <row r="67" spans="1:18">
      <c r="A67" s="606" t="s">
        <v>841</v>
      </c>
      <c r="B67" s="651"/>
      <c r="C67" s="594" t="s">
        <v>804</v>
      </c>
      <c r="D67" s="474"/>
      <c r="E67" s="474"/>
      <c r="F67" s="595"/>
      <c r="G67" s="571" t="str">
        <f t="shared" si="6"/>
        <v>GT2 PCFM - see Tax Allowance in 'Finance &amp;Tax' worksheet</v>
      </c>
      <c r="H67" s="555"/>
      <c r="I67" s="669">
        <f t="shared" si="7"/>
        <v>0</v>
      </c>
      <c r="J67" s="653"/>
      <c r="K67" s="667">
        <f>IF(E$11&lt;&gt;"",IF(OR(B$11="No Filing Date","Enter Filing Date",E$11&lt;D$11),"Error in Filing Date",IF('R8a - Tax Reconciliation'!B$11="Original Filing",D67-I67,E67-I67)),IF(OR(B$11="No Filing Date","Enter Filing Date"),"Error in Filing Date",IF('R8a - Tax Reconciliation'!B$11="Original Filing",D67-I67,E67-I67)))</f>
        <v>0</v>
      </c>
      <c r="L67" s="640"/>
      <c r="M67" s="650"/>
      <c r="N67" s="642"/>
      <c r="O67" s="642"/>
      <c r="P67" s="642"/>
      <c r="Q67" s="642"/>
    </row>
    <row r="68" spans="1:18">
      <c r="A68" s="606" t="s">
        <v>842</v>
      </c>
      <c r="B68" s="651"/>
      <c r="C68" s="594" t="s">
        <v>804</v>
      </c>
      <c r="D68" s="474"/>
      <c r="E68" s="474"/>
      <c r="F68" s="595"/>
      <c r="G68" s="571"/>
      <c r="H68" s="474"/>
      <c r="I68" s="669">
        <f>1/(1-H$13)*H68</f>
        <v>0</v>
      </c>
      <c r="J68" s="595"/>
      <c r="K68" s="667">
        <f>IF(E$11&lt;&gt;"",IF(OR(B$11="No Filing Date","Enter Filing Date",E$11&lt;D$11),"Error in Filing Date",IF('R8a - Tax Reconciliation'!B$11="Original Filing",D68-I68,E68-I68)),IF(OR(B$11="No Filing Date","Enter Filing Date"),"Error in Filing Date",IF('R8a - Tax Reconciliation'!B$11="Original Filing",D68-I68,E68-I68)))</f>
        <v>0</v>
      </c>
      <c r="L68" s="640"/>
      <c r="M68" s="650"/>
      <c r="N68" s="642"/>
      <c r="O68" s="642"/>
      <c r="P68" s="642"/>
      <c r="Q68" s="642"/>
    </row>
    <row r="69" spans="1:18" s="594" customFormat="1">
      <c r="A69" s="606" t="s">
        <v>843</v>
      </c>
      <c r="B69" s="651"/>
      <c r="C69" s="594" t="s">
        <v>804</v>
      </c>
      <c r="D69" s="474"/>
      <c r="E69" s="474"/>
      <c r="F69" s="595"/>
      <c r="G69" s="571"/>
      <c r="H69" s="474"/>
      <c r="I69" s="669">
        <f>1/(1-H$13)*H69</f>
        <v>0</v>
      </c>
      <c r="J69" s="595"/>
      <c r="K69" s="667">
        <f>IF(E$11&lt;&gt;"",IF(OR(B$11="No Filing Date","Enter Filing Date",E$11&lt;D$11),"Error in Filing Date",IF('R8a - Tax Reconciliation'!B$11="Original Filing",D69-I69,E69-I69)),IF(OR(B$11="No Filing Date","Enter Filing Date"),"Error in Filing Date",IF('R8a - Tax Reconciliation'!B$11="Original Filing",D69-I69,E69-I69)))</f>
        <v>0</v>
      </c>
      <c r="L69" s="640"/>
      <c r="M69" s="650"/>
    </row>
    <row r="70" spans="1:18">
      <c r="A70" s="606" t="s">
        <v>844</v>
      </c>
      <c r="B70" s="651"/>
      <c r="C70" s="594" t="s">
        <v>804</v>
      </c>
      <c r="D70" s="474"/>
      <c r="E70" s="474"/>
      <c r="F70" s="595"/>
      <c r="G70" s="571"/>
      <c r="H70" s="474"/>
      <c r="I70" s="669">
        <f>1/(1-H$13)*H70</f>
        <v>0</v>
      </c>
      <c r="J70" s="595"/>
      <c r="K70" s="667">
        <f>IF(E$11&lt;&gt;"",IF(OR(B$11="No Filing Date","Enter Filing Date",E$11&lt;D$11),"Error in Filing Date",IF('R8a - Tax Reconciliation'!B$11="Original Filing",D70-I70,E70-I70)),IF(OR(B$11="No Filing Date","Enter Filing Date"),"Error in Filing Date",IF('R8a - Tax Reconciliation'!B$11="Original Filing",D70-I70,E70-I70)))</f>
        <v>0</v>
      </c>
      <c r="L70" s="640"/>
      <c r="M70" s="650"/>
      <c r="N70" s="642"/>
      <c r="O70" s="642"/>
      <c r="P70" s="642"/>
      <c r="Q70" s="642"/>
    </row>
    <row r="71" spans="1:18">
      <c r="A71" s="606" t="s">
        <v>821</v>
      </c>
      <c r="B71" s="651"/>
      <c r="C71" s="642" t="s">
        <v>804</v>
      </c>
      <c r="D71" s="474"/>
      <c r="E71" s="474"/>
      <c r="F71" s="595"/>
      <c r="G71" s="571"/>
      <c r="H71" s="474"/>
      <c r="I71" s="669">
        <f>1/(1-H$13)*H71</f>
        <v>0</v>
      </c>
      <c r="J71" s="595"/>
      <c r="K71" s="667">
        <f>IF(E$11&lt;&gt;"",IF(OR(B$11="No Filing Date","Enter Filing Date",E$11&lt;D$11),"Error in Filing Date",IF('R8a - Tax Reconciliation'!B$11="Original Filing",D71-I71,E71-I71)),IF(OR(B$11="No Filing Date","Enter Filing Date"),"Error in Filing Date",IF('R8a - Tax Reconciliation'!B$11="Original Filing",D71-I71,E71-I71)))</f>
        <v>0</v>
      </c>
      <c r="L71" s="640"/>
      <c r="M71" s="644"/>
      <c r="N71" s="642"/>
      <c r="O71" s="642"/>
      <c r="P71" s="642"/>
      <c r="Q71" s="642"/>
    </row>
    <row r="72" spans="1:18" s="594" customFormat="1">
      <c r="A72" s="1109"/>
      <c r="B72" s="1110"/>
      <c r="C72" s="581"/>
      <c r="D72" s="596"/>
      <c r="E72" s="596"/>
      <c r="F72" s="596"/>
      <c r="G72" s="599"/>
      <c r="H72" s="596"/>
      <c r="I72" s="596"/>
      <c r="J72" s="596"/>
      <c r="K72" s="596"/>
      <c r="L72" s="646"/>
      <c r="M72" s="647"/>
    </row>
    <row r="73" spans="1:18" s="594" customFormat="1">
      <c r="A73" s="1103" t="s">
        <v>845</v>
      </c>
      <c r="B73" s="1104"/>
      <c r="C73" s="581"/>
      <c r="D73" s="596"/>
      <c r="E73" s="596"/>
      <c r="F73" s="596"/>
      <c r="G73" s="599"/>
      <c r="H73" s="596"/>
      <c r="I73" s="596"/>
      <c r="J73" s="596"/>
      <c r="K73" s="596"/>
      <c r="L73" s="646"/>
      <c r="M73" s="647"/>
    </row>
    <row r="74" spans="1:18">
      <c r="A74" s="593" t="s">
        <v>846</v>
      </c>
      <c r="B74" s="624"/>
      <c r="C74" s="594" t="s">
        <v>804</v>
      </c>
      <c r="D74" s="474"/>
      <c r="E74" s="474"/>
      <c r="F74" s="476"/>
      <c r="G74" s="571"/>
      <c r="H74" s="474"/>
      <c r="I74" s="669">
        <f t="shared" ref="I74:I80" si="8">1/(1-H$13)*H74</f>
        <v>0</v>
      </c>
      <c r="J74" s="595"/>
      <c r="K74" s="667">
        <f>IF(E$11&lt;&gt;"",IF(OR(B$11="No Filing Date","Enter Filing Date",E$11&lt;D$11),"Error in Filing Date",IF('R8a - Tax Reconciliation'!B$11="Original Filing",D74-I74,E74-I74)),IF(OR(B$11="No Filing Date","Enter Filing Date"),"Error in Filing Date",IF('R8a - Tax Reconciliation'!B$11="Original Filing",D74-I74,E74-I74)))</f>
        <v>0</v>
      </c>
      <c r="L74" s="640"/>
      <c r="M74" s="650"/>
      <c r="N74" s="642"/>
      <c r="O74" s="642"/>
      <c r="P74" s="642"/>
      <c r="Q74" s="642"/>
    </row>
    <row r="75" spans="1:18">
      <c r="A75" s="593" t="s">
        <v>847</v>
      </c>
      <c r="B75" s="624"/>
      <c r="C75" s="594" t="s">
        <v>804</v>
      </c>
      <c r="D75" s="474"/>
      <c r="E75" s="474"/>
      <c r="F75" s="476"/>
      <c r="G75" s="571"/>
      <c r="H75" s="474"/>
      <c r="I75" s="669">
        <f t="shared" si="8"/>
        <v>0</v>
      </c>
      <c r="J75" s="595"/>
      <c r="K75" s="667">
        <f>IF(E$11&lt;&gt;"",IF(OR(B$11="No Filing Date","Enter Filing Date",E$11&lt;D$11),"Error in Filing Date",IF('R8a - Tax Reconciliation'!B$11="Original Filing",D75-I75,E75-I75)),IF(OR(B$11="No Filing Date","Enter Filing Date"),"Error in Filing Date",IF('R8a - Tax Reconciliation'!B$11="Original Filing",D75-I75,E75-I75)))</f>
        <v>0</v>
      </c>
      <c r="L75" s="640"/>
      <c r="M75" s="650"/>
      <c r="N75" s="642"/>
      <c r="O75" s="642"/>
      <c r="P75" s="642"/>
      <c r="Q75" s="642"/>
    </row>
    <row r="76" spans="1:18">
      <c r="A76" s="621" t="s">
        <v>848</v>
      </c>
      <c r="B76" s="622"/>
      <c r="C76" s="594" t="s">
        <v>804</v>
      </c>
      <c r="D76" s="474"/>
      <c r="E76" s="474"/>
      <c r="F76" s="476"/>
      <c r="G76" s="571"/>
      <c r="H76" s="474"/>
      <c r="I76" s="669">
        <f t="shared" si="8"/>
        <v>0</v>
      </c>
      <c r="J76" s="595"/>
      <c r="K76" s="667">
        <f>IF(E$11&lt;&gt;"",IF(OR(B$11="No Filing Date","Enter Filing Date",E$11&lt;D$11),"Error in Filing Date",IF('R8a - Tax Reconciliation'!B$11="Original Filing",D76-I76,E76-I76)),IF(OR(B$11="No Filing Date","Enter Filing Date"),"Error in Filing Date",IF('R8a - Tax Reconciliation'!B$11="Original Filing",D76-I76,E76-I76)))</f>
        <v>0</v>
      </c>
      <c r="L76" s="640"/>
      <c r="M76" s="650"/>
      <c r="N76" s="642"/>
      <c r="O76" s="642"/>
      <c r="P76" s="642"/>
      <c r="Q76" s="642"/>
    </row>
    <row r="77" spans="1:18">
      <c r="A77" s="621" t="s">
        <v>849</v>
      </c>
      <c r="B77" s="622"/>
      <c r="C77" s="594" t="s">
        <v>804</v>
      </c>
      <c r="D77" s="474"/>
      <c r="E77" s="474"/>
      <c r="F77" s="476"/>
      <c r="G77" s="571"/>
      <c r="H77" s="474"/>
      <c r="I77" s="669">
        <f t="shared" si="8"/>
        <v>0</v>
      </c>
      <c r="J77" s="595"/>
      <c r="K77" s="667">
        <f>IF(E$11&lt;&gt;"",IF(OR(B$11="No Filing Date","Enter Filing Date",E$11&lt;D$11),"Error in Filing Date",IF('R8a - Tax Reconciliation'!B$11="Original Filing",D77-I77,E77-I77)),IF(OR(B$11="No Filing Date","Enter Filing Date"),"Error in Filing Date",IF('R8a - Tax Reconciliation'!B$11="Original Filing",D77-I77,E77-I77)))</f>
        <v>0</v>
      </c>
      <c r="L77" s="640"/>
      <c r="M77" s="650"/>
      <c r="N77" s="642"/>
      <c r="O77" s="642"/>
      <c r="P77" s="642"/>
      <c r="Q77" s="642"/>
    </row>
    <row r="78" spans="1:18">
      <c r="A78" s="621" t="s">
        <v>850</v>
      </c>
      <c r="B78" s="622"/>
      <c r="C78" s="594" t="s">
        <v>804</v>
      </c>
      <c r="D78" s="474"/>
      <c r="E78" s="474"/>
      <c r="F78" s="476"/>
      <c r="G78" s="571"/>
      <c r="H78" s="474"/>
      <c r="I78" s="669">
        <f t="shared" si="8"/>
        <v>0</v>
      </c>
      <c r="J78" s="595"/>
      <c r="K78" s="667">
        <f>IF(E$11&lt;&gt;"",IF(OR(B$11="No Filing Date","Enter Filing Date",E$11&lt;D$11),"Error in Filing Date",IF('R8a - Tax Reconciliation'!B$11="Original Filing",D78-I78,E78-I78)),IF(OR(B$11="No Filing Date","Enter Filing Date"),"Error in Filing Date",IF('R8a - Tax Reconciliation'!B$11="Original Filing",D78-I78,E78-I78)))</f>
        <v>0</v>
      </c>
      <c r="L78" s="640"/>
      <c r="M78" s="650"/>
      <c r="N78" s="594"/>
      <c r="O78" s="594"/>
      <c r="P78" s="594"/>
      <c r="Q78" s="594"/>
      <c r="R78" s="594"/>
    </row>
    <row r="79" spans="1:18">
      <c r="A79" s="621" t="s">
        <v>851</v>
      </c>
      <c r="B79" s="622"/>
      <c r="C79" s="594" t="s">
        <v>804</v>
      </c>
      <c r="D79" s="474"/>
      <c r="E79" s="474"/>
      <c r="F79" s="476"/>
      <c r="G79" s="571"/>
      <c r="H79" s="474"/>
      <c r="I79" s="669">
        <f t="shared" si="8"/>
        <v>0</v>
      </c>
      <c r="J79" s="595"/>
      <c r="K79" s="667">
        <f>IF(E$11&lt;&gt;"",IF(OR(B$11="No Filing Date","Enter Filing Date",E$11&lt;D$11),"Error in Filing Date",IF('R8a - Tax Reconciliation'!B$11="Original Filing",D79-I79,E79-I79)),IF(OR(B$11="No Filing Date","Enter Filing Date"),"Error in Filing Date",IF('R8a - Tax Reconciliation'!B$11="Original Filing",D79-I79,E79-I79)))</f>
        <v>0</v>
      </c>
      <c r="L79" s="640"/>
      <c r="M79" s="650"/>
      <c r="N79" s="642"/>
      <c r="O79" s="642"/>
      <c r="P79" s="642"/>
      <c r="Q79" s="642"/>
    </row>
    <row r="80" spans="1:18">
      <c r="A80" s="636" t="s">
        <v>821</v>
      </c>
      <c r="B80" s="637"/>
      <c r="C80" s="594" t="s">
        <v>804</v>
      </c>
      <c r="D80" s="474"/>
      <c r="E80" s="474"/>
      <c r="F80" s="476"/>
      <c r="G80" s="571"/>
      <c r="H80" s="474"/>
      <c r="I80" s="669">
        <f t="shared" si="8"/>
        <v>0</v>
      </c>
      <c r="J80" s="595"/>
      <c r="K80" s="667">
        <f>IF(E$11&lt;&gt;"",IF(OR(B$11="No Filing Date","Enter Filing Date",E$11&lt;D$11),"Error in Filing Date",IF('R8a - Tax Reconciliation'!B$11="Original Filing",D80-I80,E80-I80)),IF(OR(B$11="No Filing Date","Enter Filing Date"),"Error in Filing Date",IF('R8a - Tax Reconciliation'!B$11="Original Filing",D80-I80,E80-I80)))</f>
        <v>0</v>
      </c>
      <c r="L80" s="640"/>
      <c r="M80" s="644"/>
      <c r="N80" s="642"/>
      <c r="O80" s="642"/>
      <c r="P80" s="642"/>
      <c r="Q80" s="642"/>
    </row>
    <row r="81" spans="1:18">
      <c r="D81" s="654"/>
      <c r="E81" s="654"/>
      <c r="F81" s="596"/>
      <c r="G81" s="599"/>
      <c r="H81" s="654"/>
      <c r="I81" s="596"/>
      <c r="J81" s="596"/>
      <c r="K81" s="596"/>
      <c r="L81" s="646"/>
      <c r="M81" s="647"/>
      <c r="N81" s="642"/>
      <c r="O81" s="642"/>
      <c r="P81" s="642"/>
      <c r="Q81" s="642"/>
    </row>
    <row r="82" spans="1:18">
      <c r="A82" s="1111" t="s">
        <v>852</v>
      </c>
      <c r="B82" s="1112"/>
      <c r="C82" s="651" t="s">
        <v>804</v>
      </c>
      <c r="D82" s="634">
        <f>SUM(D45:D81)</f>
        <v>0</v>
      </c>
      <c r="E82" s="634">
        <f>SUM(E45:E81)</f>
        <v>0</v>
      </c>
      <c r="F82" s="475"/>
      <c r="G82" s="655" t="s">
        <v>853</v>
      </c>
      <c r="H82" s="634">
        <f>SUM(H45:H81)</f>
        <v>0</v>
      </c>
      <c r="I82" s="634">
        <f>SUM(I45:I81)</f>
        <v>0</v>
      </c>
      <c r="J82" s="653"/>
      <c r="K82" s="629">
        <f>IF(E$11&lt;&gt;"",IF(OR(B$11="No Filing Date","Enter Filing Date",E$11&lt;D$11),"Error in Filing Date",IF('R8a - Tax Reconciliation'!B$11="Original Filing",D82-I82,E82-I82)),IF(OR(B$11="No Filing Date","Enter Filing Date"),"Error in Filing Date",IF('R8a - Tax Reconciliation'!B$11="Original Filing",D82-I82,E82-I82)))</f>
        <v>0</v>
      </c>
      <c r="L82" s="640"/>
      <c r="M82" s="644"/>
      <c r="N82" s="690"/>
      <c r="O82" s="690"/>
      <c r="P82" s="690"/>
      <c r="Q82" s="690"/>
    </row>
    <row r="83" spans="1:18">
      <c r="A83" s="656"/>
      <c r="B83" s="656"/>
      <c r="C83" s="594"/>
      <c r="D83" s="607"/>
      <c r="E83" s="607"/>
      <c r="F83" s="476"/>
      <c r="G83" s="476"/>
      <c r="H83" s="607"/>
      <c r="I83" s="476"/>
      <c r="J83" s="595"/>
      <c r="K83" s="657"/>
      <c r="L83" s="640"/>
      <c r="M83" s="641"/>
      <c r="N83" s="690"/>
      <c r="O83" s="690"/>
      <c r="P83" s="690"/>
      <c r="Q83" s="690"/>
    </row>
    <row r="84" spans="1:18">
      <c r="A84" s="691" t="s">
        <v>854</v>
      </c>
      <c r="B84" s="694"/>
      <c r="C84" s="594"/>
      <c r="D84" s="476"/>
      <c r="E84" s="476"/>
      <c r="F84" s="476"/>
      <c r="G84" s="476"/>
      <c r="H84" s="476"/>
      <c r="I84" s="476"/>
      <c r="J84" s="595"/>
      <c r="K84" s="595"/>
      <c r="L84" s="640"/>
      <c r="M84" s="641"/>
      <c r="N84" s="690"/>
      <c r="O84" s="690"/>
      <c r="P84" s="690"/>
      <c r="Q84" s="690"/>
    </row>
    <row r="85" spans="1:18">
      <c r="A85" s="658"/>
      <c r="B85" s="659"/>
      <c r="C85" s="594"/>
      <c r="D85" s="476"/>
      <c r="E85" s="476"/>
      <c r="F85" s="476"/>
      <c r="G85" s="476"/>
      <c r="H85" s="476"/>
      <c r="I85" s="476"/>
      <c r="J85" s="595"/>
      <c r="K85" s="595"/>
      <c r="L85" s="640"/>
      <c r="M85" s="641"/>
      <c r="N85" s="690"/>
      <c r="O85" s="690"/>
      <c r="P85" s="690"/>
      <c r="Q85" s="690"/>
      <c r="R85" s="594"/>
    </row>
    <row r="86" spans="1:18">
      <c r="A86" s="623" t="s">
        <v>855</v>
      </c>
      <c r="B86" s="660"/>
      <c r="D86" s="472"/>
      <c r="E86" s="473"/>
      <c r="F86" s="472"/>
      <c r="G86" s="572"/>
      <c r="H86" s="473"/>
      <c r="I86" s="472"/>
      <c r="J86" s="596"/>
      <c r="K86" s="596"/>
      <c r="L86" s="646"/>
      <c r="M86" s="661"/>
      <c r="N86" s="690"/>
      <c r="O86" s="690"/>
      <c r="P86" s="690"/>
      <c r="Q86" s="690"/>
    </row>
    <row r="87" spans="1:18" s="594" customFormat="1">
      <c r="A87" s="621" t="s">
        <v>856</v>
      </c>
      <c r="B87" s="659"/>
      <c r="C87" s="594" t="s">
        <v>804</v>
      </c>
      <c r="D87" s="474"/>
      <c r="E87" s="474"/>
      <c r="F87" s="476"/>
      <c r="G87" s="571" t="str">
        <f t="shared" ref="G87:G91" si="9">IF($B$4="ESO2", $B$4&amp; " " &amp;"PCFM - see Tax Allowance in 'System Operator' worksheet",  $B$4&amp; " " &amp;"PCFM - see Tax Allowance in 'Finance &amp;Tax' worksheet")</f>
        <v>GT2 PCFM - see Tax Allowance in 'Finance &amp;Tax' worksheet</v>
      </c>
      <c r="H87" s="555"/>
      <c r="I87" s="669">
        <f t="shared" ref="I87:I91" si="10">1/(1-H$13)*H87</f>
        <v>0</v>
      </c>
      <c r="J87" s="595"/>
      <c r="K87" s="667">
        <f>IF(E$11&lt;&gt;"",IF(OR(B$11="No Filing Date","Enter Filing Date",E$11&lt;D$11),"Error in Filing Date",IF('R8a - Tax Reconciliation'!B$11="Original Filing",D87-I87,E87-I87)),IF(OR(B$11="No Filing Date","Enter Filing Date"),"Error in Filing Date",IF('R8a - Tax Reconciliation'!B$11="Original Filing",D87-I87,E87-I87)))</f>
        <v>0</v>
      </c>
      <c r="L87" s="640"/>
      <c r="M87" s="650"/>
      <c r="N87" s="690"/>
      <c r="O87" s="690"/>
      <c r="P87" s="690"/>
      <c r="Q87" s="690"/>
    </row>
    <row r="88" spans="1:18" s="594" customFormat="1">
      <c r="A88" s="621" t="s">
        <v>857</v>
      </c>
      <c r="B88" s="659"/>
      <c r="C88" s="594" t="s">
        <v>804</v>
      </c>
      <c r="D88" s="474"/>
      <c r="E88" s="474"/>
      <c r="F88" s="476"/>
      <c r="G88" s="571" t="str">
        <f t="shared" si="9"/>
        <v>GT2 PCFM - see Tax Allowance in 'Finance &amp;Tax' worksheet</v>
      </c>
      <c r="H88" s="555"/>
      <c r="I88" s="669">
        <f t="shared" si="10"/>
        <v>0</v>
      </c>
      <c r="J88" s="595"/>
      <c r="K88" s="667">
        <f>IF(E$11&lt;&gt;"",IF(OR(B$11="No Filing Date","Enter Filing Date",E$11&lt;D$11),"Error in Filing Date",IF('R8a - Tax Reconciliation'!B$11="Original Filing",D88-I88,E88-I88)),IF(OR(B$11="No Filing Date","Enter Filing Date"),"Error in Filing Date",IF('R8a - Tax Reconciliation'!B$11="Original Filing",D88-I88,E88-I88)))</f>
        <v>0</v>
      </c>
      <c r="L88" s="640"/>
      <c r="M88" s="650"/>
      <c r="N88" s="690"/>
      <c r="O88" s="690"/>
      <c r="P88" s="690"/>
      <c r="Q88" s="690"/>
    </row>
    <row r="89" spans="1:18" s="594" customFormat="1">
      <c r="A89" s="621" t="s">
        <v>858</v>
      </c>
      <c r="B89" s="659"/>
      <c r="C89" s="594" t="s">
        <v>804</v>
      </c>
      <c r="D89" s="474"/>
      <c r="E89" s="474"/>
      <c r="F89" s="476"/>
      <c r="G89" s="571" t="str">
        <f t="shared" si="9"/>
        <v>GT2 PCFM - see Tax Allowance in 'Finance &amp;Tax' worksheet</v>
      </c>
      <c r="H89" s="555"/>
      <c r="I89" s="669">
        <f t="shared" si="10"/>
        <v>0</v>
      </c>
      <c r="J89" s="595"/>
      <c r="K89" s="667">
        <f>IF(E$11&lt;&gt;"",IF(OR(B$11="No Filing Date","Enter Filing Date",E$11&lt;D$11),"Error in Filing Date",IF('R8a - Tax Reconciliation'!B$11="Original Filing",D89-I89,E89-I89)),IF(OR(B$11="No Filing Date","Enter Filing Date"),"Error in Filing Date",IF('R8a - Tax Reconciliation'!B$11="Original Filing",D89-I89,E89-I89)))</f>
        <v>0</v>
      </c>
      <c r="L89" s="640"/>
      <c r="M89" s="650"/>
      <c r="N89" s="690"/>
      <c r="O89" s="690"/>
      <c r="P89" s="690"/>
      <c r="Q89" s="690"/>
    </row>
    <row r="90" spans="1:18" s="594" customFormat="1">
      <c r="A90" s="621" t="s">
        <v>859</v>
      </c>
      <c r="B90" s="659"/>
      <c r="C90" s="594" t="s">
        <v>804</v>
      </c>
      <c r="D90" s="474"/>
      <c r="E90" s="474"/>
      <c r="F90" s="476"/>
      <c r="G90" s="571" t="str">
        <f t="shared" si="9"/>
        <v>GT2 PCFM - see Tax Allowance in 'Finance &amp;Tax' worksheet</v>
      </c>
      <c r="H90" s="555"/>
      <c r="I90" s="669">
        <f t="shared" si="10"/>
        <v>0</v>
      </c>
      <c r="J90" s="595"/>
      <c r="K90" s="667">
        <f>IF(E$11&lt;&gt;"",IF(OR(B$11="No Filing Date","Enter Filing Date",E$11&lt;D$11),"Error in Filing Date",IF('R8a - Tax Reconciliation'!B$11="Original Filing",D90-I90,E90-I90)),IF(OR(B$11="No Filing Date","Enter Filing Date"),"Error in Filing Date",IF('R8a - Tax Reconciliation'!B$11="Original Filing",D90-I90,E90-I90)))</f>
        <v>0</v>
      </c>
      <c r="L90" s="640"/>
      <c r="M90" s="650"/>
      <c r="N90" s="690"/>
      <c r="O90" s="690"/>
      <c r="P90" s="690"/>
      <c r="Q90" s="690"/>
    </row>
    <row r="91" spans="1:18" s="594" customFormat="1">
      <c r="A91" s="621" t="s">
        <v>860</v>
      </c>
      <c r="B91" s="659"/>
      <c r="C91" s="594" t="s">
        <v>804</v>
      </c>
      <c r="D91" s="474"/>
      <c r="E91" s="474"/>
      <c r="F91" s="476"/>
      <c r="G91" s="571" t="str">
        <f t="shared" si="9"/>
        <v>GT2 PCFM - see Tax Allowance in 'Finance &amp;Tax' worksheet</v>
      </c>
      <c r="H91" s="555"/>
      <c r="I91" s="669">
        <f t="shared" si="10"/>
        <v>0</v>
      </c>
      <c r="J91" s="595"/>
      <c r="K91" s="667">
        <f>IF(E$11&lt;&gt;"",IF(OR(B$11="No Filing Date","Enter Filing Date",E$11&lt;D$11),"Error in Filing Date",IF('R8a - Tax Reconciliation'!B$11="Original Filing",D91-I91,E91-I91)),IF(OR(B$11="No Filing Date","Enter Filing Date"),"Error in Filing Date",IF('R8a - Tax Reconciliation'!B$11="Original Filing",D91-I91,E91-I91)))</f>
        <v>0</v>
      </c>
      <c r="L91" s="640"/>
      <c r="M91" s="650"/>
      <c r="N91" s="690"/>
      <c r="O91" s="690"/>
      <c r="P91" s="690"/>
      <c r="Q91" s="690"/>
    </row>
    <row r="92" spans="1:18" s="594" customFormat="1">
      <c r="A92" s="636" t="s">
        <v>861</v>
      </c>
      <c r="B92" s="637"/>
      <c r="C92" s="594" t="s">
        <v>804</v>
      </c>
      <c r="D92" s="474"/>
      <c r="E92" s="474"/>
      <c r="F92" s="476"/>
      <c r="G92" s="571"/>
      <c r="H92" s="474"/>
      <c r="I92" s="669">
        <f>1/(1-H$13)*H92</f>
        <v>0</v>
      </c>
      <c r="J92" s="595"/>
      <c r="K92" s="667">
        <f>IF(E$11&lt;&gt;"",IF(OR(B$11="No Filing Date","Enter Filing Date",E$11&lt;D$11),"Error in Filing Date",IF('R8a - Tax Reconciliation'!B$11="Original Filing",D92-I92,E92-I92)),IF(OR(B$11="No Filing Date","Enter Filing Date"),"Error in Filing Date",IF('R8a - Tax Reconciliation'!B$11="Original Filing",D92-I92,E92-I92)))</f>
        <v>0</v>
      </c>
      <c r="L92" s="640"/>
      <c r="M92" s="644"/>
      <c r="N92" s="690"/>
      <c r="O92" s="690"/>
      <c r="P92" s="690"/>
      <c r="Q92" s="690"/>
    </row>
    <row r="93" spans="1:18" s="594" customFormat="1">
      <c r="A93" s="581"/>
      <c r="B93" s="581"/>
      <c r="C93" s="581"/>
      <c r="D93" s="654"/>
      <c r="E93" s="654"/>
      <c r="F93" s="596"/>
      <c r="G93" s="599"/>
      <c r="H93" s="654"/>
      <c r="I93" s="596"/>
      <c r="J93" s="596"/>
      <c r="K93" s="654"/>
      <c r="L93" s="646"/>
      <c r="M93" s="647"/>
      <c r="N93" s="690"/>
      <c r="O93" s="690"/>
      <c r="P93" s="690"/>
      <c r="Q93" s="690"/>
    </row>
    <row r="94" spans="1:18" s="594" customFormat="1">
      <c r="A94" s="635" t="s">
        <v>862</v>
      </c>
      <c r="B94" s="662"/>
      <c r="C94" s="651" t="s">
        <v>804</v>
      </c>
      <c r="D94" s="629">
        <f>SUM(D82:D93)</f>
        <v>0</v>
      </c>
      <c r="E94" s="629">
        <f>SUM(E82:E93)</f>
        <v>0</v>
      </c>
      <c r="F94" s="663"/>
      <c r="G94" s="655" t="s">
        <v>863</v>
      </c>
      <c r="H94" s="629">
        <f>SUM(H82:H93)</f>
        <v>0</v>
      </c>
      <c r="I94" s="629">
        <f>SUM(I82:I93)</f>
        <v>0</v>
      </c>
      <c r="J94" s="653"/>
      <c r="K94" s="629">
        <f>IF(E$11&lt;&gt;"",IF(OR(B$11="No Filing Date","Enter Filing Date",E$11&lt;D$11),"Error in Filing Date",IF('R8a - Tax Reconciliation'!B$11="Original Filing",D94-I94,E94-I94)),IF(OR(B$11="No Filing Date","Enter Filing Date"),"Error in Filing Date",IF('R8a - Tax Reconciliation'!B$11="Original Filing",D94-I94,E94-I94)))</f>
        <v>0</v>
      </c>
      <c r="L94" s="640"/>
      <c r="M94" s="644"/>
      <c r="N94" s="690"/>
      <c r="O94" s="690"/>
      <c r="P94" s="690"/>
      <c r="Q94" s="690"/>
    </row>
    <row r="95" spans="1:18" s="594" customFormat="1">
      <c r="A95" s="664"/>
      <c r="B95" s="665"/>
      <c r="C95" s="581"/>
      <c r="D95" s="596"/>
      <c r="E95" s="596"/>
      <c r="F95" s="596"/>
      <c r="G95" s="596"/>
      <c r="H95" s="599"/>
      <c r="I95" s="599"/>
      <c r="J95" s="599"/>
      <c r="K95" s="599"/>
      <c r="L95" s="646"/>
      <c r="M95" s="647"/>
      <c r="N95" s="690"/>
      <c r="O95" s="690"/>
      <c r="P95" s="690"/>
      <c r="Q95" s="690"/>
    </row>
    <row r="96" spans="1:18" s="594" customFormat="1">
      <c r="A96" s="638" t="s">
        <v>864</v>
      </c>
      <c r="B96" s="666"/>
      <c r="C96" s="642" t="s">
        <v>804</v>
      </c>
      <c r="D96" s="629">
        <f>+D94*D13</f>
        <v>0</v>
      </c>
      <c r="E96" s="629">
        <f>+E94*E13</f>
        <v>0</v>
      </c>
      <c r="F96" s="595"/>
      <c r="G96" s="643" t="s">
        <v>865</v>
      </c>
      <c r="H96" s="629">
        <f>+H94*H13</f>
        <v>0</v>
      </c>
      <c r="I96" s="629">
        <f>+I94*I13</f>
        <v>0</v>
      </c>
      <c r="J96" s="595"/>
      <c r="K96" s="599"/>
      <c r="L96" s="599"/>
      <c r="M96" s="599"/>
      <c r="N96" s="689"/>
      <c r="O96" s="689"/>
      <c r="P96" s="689"/>
      <c r="Q96" s="689"/>
    </row>
    <row r="97" spans="1:13" s="643" customFormat="1">
      <c r="H97" s="674"/>
      <c r="I97" s="596"/>
    </row>
    <row r="98" spans="1:13">
      <c r="A98" s="1102" t="s">
        <v>866</v>
      </c>
      <c r="B98" s="1102"/>
      <c r="C98" s="581" t="s">
        <v>746</v>
      </c>
      <c r="D98" s="608">
        <f>INDEX(Data!$D$26:$K$26,MATCH($B$6,Data!$D$25:$K$25,0))</f>
        <v>1.0383269111980469</v>
      </c>
      <c r="E98" s="608">
        <f>INDEX(Data!$D$26:$K$26,MATCH($B$6,Data!$D$25:$K$25,0))</f>
        <v>1.0383269111980469</v>
      </c>
      <c r="F98" s="609"/>
      <c r="G98" s="572" t="s">
        <v>867</v>
      </c>
      <c r="H98" s="608">
        <f>INDEX(Data!$D$26:$K$26,MATCH($B$6,Data!$D$25:$K$25,0))</f>
        <v>1.0383269111980469</v>
      </c>
      <c r="I98" s="608">
        <f>INDEX(Data!$D$26:$K$26,MATCH($B$6,Data!$D$25:$K$25,0))</f>
        <v>1.0383269111980469</v>
      </c>
      <c r="J98" s="609"/>
      <c r="K98" s="609"/>
    </row>
    <row r="99" spans="1:13" ht="21" customHeight="1">
      <c r="A99" s="610" t="s">
        <v>868</v>
      </c>
      <c r="B99" s="611"/>
      <c r="C99" s="639" t="str">
        <f>IF($B$4="ED","20/21 Prices","18/19 Prices")</f>
        <v>18/19 Prices</v>
      </c>
      <c r="D99" s="612">
        <f>D96/D98</f>
        <v>0</v>
      </c>
      <c r="E99" s="612">
        <f>E96/E98</f>
        <v>0</v>
      </c>
      <c r="F99" s="613"/>
      <c r="G99" s="614" t="s">
        <v>869</v>
      </c>
      <c r="H99" s="612">
        <f>H96/H98</f>
        <v>0</v>
      </c>
      <c r="I99" s="612">
        <f>I96/I98</f>
        <v>0</v>
      </c>
      <c r="J99" s="613"/>
      <c r="K99" s="629">
        <f>IF(OR(B$11="No Filing Date","Enter Filing Date"),"Error in Filing Date",IF('R8a - Tax Reconciliation'!B$11="Original Filing",D99-I99,E99-I99))</f>
        <v>0</v>
      </c>
      <c r="M99" s="650"/>
    </row>
    <row r="100" spans="1:13">
      <c r="C100" s="615"/>
      <c r="D100" s="596"/>
      <c r="E100" s="596"/>
      <c r="F100" s="596"/>
      <c r="G100" s="599"/>
      <c r="H100" s="596"/>
      <c r="I100" s="616"/>
      <c r="J100" s="596"/>
      <c r="K100" s="596"/>
    </row>
    <row r="101" spans="1:13">
      <c r="D101" s="616"/>
      <c r="E101" s="616"/>
      <c r="F101" s="616"/>
      <c r="G101" s="617"/>
      <c r="H101" s="616"/>
      <c r="J101" s="616"/>
      <c r="K101" s="616"/>
    </row>
  </sheetData>
  <mergeCells count="20">
    <mergeCell ref="M8:M9"/>
    <mergeCell ref="A13:B13"/>
    <mergeCell ref="A27:B27"/>
    <mergeCell ref="A28:B28"/>
    <mergeCell ref="A7:B7"/>
    <mergeCell ref="A8:B9"/>
    <mergeCell ref="C8:C9"/>
    <mergeCell ref="G8:G9"/>
    <mergeCell ref="A17:B17"/>
    <mergeCell ref="A98:B98"/>
    <mergeCell ref="A73:B73"/>
    <mergeCell ref="A36:B36"/>
    <mergeCell ref="A37:B37"/>
    <mergeCell ref="A40:B40"/>
    <mergeCell ref="A42:B42"/>
    <mergeCell ref="A43:B43"/>
    <mergeCell ref="A39:B39"/>
    <mergeCell ref="A72:B72"/>
    <mergeCell ref="A82:B82"/>
    <mergeCell ref="A55:B55"/>
  </mergeCells>
  <pageMargins left="0.23622047244094491" right="0.23622047244094491" top="0.74803149606299213" bottom="0.74803149606299213" header="0.31496062992125984" footer="0.31496062992125984"/>
  <pageSetup paperSize="9" scale="43" fitToHeight="0" orientation="landscape" r:id="rId1"/>
  <headerFooter>
    <oddFooter>&amp;L&amp;F&amp;C_x000D_&amp;1#&amp;"Calibri"&amp;10&amp;K000000 OFFICIAL-InternalOnly&amp;R&amp;D</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FFFFCC"/>
    <pageSetUpPr fitToPage="1"/>
  </sheetPr>
  <dimension ref="A1:O91"/>
  <sheetViews>
    <sheetView showGridLines="0" zoomScaleNormal="100" workbookViewId="0">
      <pane ySplit="3" topLeftCell="A58" activePane="bottomLeft" state="frozen"/>
      <selection activeCell="B3" sqref="B3:F3"/>
      <selection pane="bottomLeft" activeCell="M83" sqref="M83"/>
    </sheetView>
  </sheetViews>
  <sheetFormatPr defaultRowHeight="13.5"/>
  <cols>
    <col min="1" max="1" width="8.3828125" customWidth="1"/>
    <col min="2" max="2" width="44.4609375" customWidth="1"/>
    <col min="3" max="3" width="15.15234375" customWidth="1"/>
    <col min="4" max="8" width="14.765625" style="24" customWidth="1"/>
    <col min="9" max="9" width="5" customWidth="1"/>
    <col min="14" max="14" width="13.15234375" customWidth="1"/>
  </cols>
  <sheetData>
    <row r="1" spans="1:14" ht="20">
      <c r="A1" s="677" t="s">
        <v>184</v>
      </c>
      <c r="B1" s="381"/>
      <c r="C1" s="382"/>
      <c r="D1" s="847"/>
      <c r="E1" s="847"/>
      <c r="F1" s="847"/>
      <c r="G1" s="847"/>
      <c r="H1" s="847"/>
      <c r="I1" s="684"/>
    </row>
    <row r="2" spans="1:14" ht="20">
      <c r="A2" s="295" t="str">
        <f>Licensee</f>
        <v>NGGT (TO)</v>
      </c>
      <c r="B2" s="290"/>
      <c r="C2" s="15"/>
      <c r="D2" s="850"/>
      <c r="E2" s="850"/>
      <c r="F2" s="850"/>
      <c r="G2" s="850"/>
      <c r="H2" s="850"/>
      <c r="I2" s="38"/>
    </row>
    <row r="3" spans="1:14" ht="20">
      <c r="A3" s="534">
        <f>Reporting_Year</f>
        <v>2022</v>
      </c>
      <c r="B3" s="524"/>
      <c r="C3" s="524"/>
      <c r="D3" s="852"/>
      <c r="E3" s="852"/>
      <c r="F3" s="852"/>
      <c r="G3" s="852"/>
      <c r="H3" s="852"/>
      <c r="I3" s="68"/>
    </row>
    <row r="4" spans="1:14" s="2" customFormat="1" ht="12.75" customHeight="1">
      <c r="D4" s="337"/>
      <c r="E4" s="337"/>
      <c r="F4" s="337"/>
      <c r="G4" s="337"/>
      <c r="H4" s="337"/>
    </row>
    <row r="5" spans="1:14" s="2" customFormat="1">
      <c r="B5" s="3"/>
      <c r="C5" s="3"/>
      <c r="D5" s="512" t="str">
        <f t="shared" ref="D5:H5" si="0">IF(D6&lt;=Reporting_Year,"Actuals","Forecast")</f>
        <v>Actuals</v>
      </c>
      <c r="E5" s="512" t="str">
        <f t="shared" si="0"/>
        <v>Forecast</v>
      </c>
      <c r="F5" s="512" t="str">
        <f t="shared" si="0"/>
        <v>Forecast</v>
      </c>
      <c r="G5" s="512" t="str">
        <f t="shared" si="0"/>
        <v>Forecast</v>
      </c>
      <c r="H5" s="512" t="str">
        <f t="shared" si="0"/>
        <v>Forecast</v>
      </c>
    </row>
    <row r="6" spans="1:14" s="2" customFormat="1">
      <c r="D6" s="401">
        <f>'RFPR cover'!$C$6</f>
        <v>2022</v>
      </c>
      <c r="E6" s="401">
        <f>D6+1</f>
        <v>2023</v>
      </c>
      <c r="F6" s="401">
        <f t="shared" ref="F6:H6" si="1">E6+1</f>
        <v>2024</v>
      </c>
      <c r="G6" s="401">
        <f t="shared" si="1"/>
        <v>2025</v>
      </c>
      <c r="H6" s="401">
        <f t="shared" si="1"/>
        <v>2026</v>
      </c>
    </row>
    <row r="7" spans="1:14" s="2" customFormat="1">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row>
    <row r="8" spans="1:14" s="2" customFormat="1">
      <c r="D8" s="337"/>
      <c r="E8" s="337"/>
      <c r="F8" s="337"/>
      <c r="G8" s="337"/>
      <c r="H8" s="337"/>
    </row>
    <row r="9" spans="1:14" s="2" customFormat="1">
      <c r="A9" s="356" t="s">
        <v>870</v>
      </c>
      <c r="B9" s="357"/>
      <c r="C9" s="62"/>
      <c r="D9" s="230"/>
      <c r="E9" s="230"/>
      <c r="F9" s="230"/>
      <c r="G9" s="230"/>
      <c r="H9" s="230"/>
    </row>
    <row r="10" spans="1:14" s="2" customFormat="1">
      <c r="D10" s="337"/>
      <c r="E10" s="337"/>
      <c r="F10" s="337"/>
      <c r="G10" s="337"/>
      <c r="H10" s="337"/>
    </row>
    <row r="11" spans="1:14">
      <c r="B11" s="6" t="s">
        <v>871</v>
      </c>
      <c r="C11" s="46" t="s">
        <v>230</v>
      </c>
      <c r="D11" s="829">
        <v>295</v>
      </c>
      <c r="E11" s="966"/>
      <c r="F11" s="966"/>
      <c r="G11" s="966"/>
      <c r="H11" s="966"/>
      <c r="J11" s="2"/>
    </row>
    <row r="12" spans="1:14">
      <c r="B12" s="7" t="s">
        <v>872</v>
      </c>
      <c r="C12" s="6"/>
      <c r="D12" s="888"/>
      <c r="E12" s="888"/>
      <c r="F12" s="888"/>
      <c r="G12" s="888"/>
      <c r="H12" s="888"/>
      <c r="J12" s="2"/>
    </row>
    <row r="13" spans="1:14">
      <c r="B13" s="127" t="s">
        <v>1381</v>
      </c>
      <c r="C13" s="46" t="s">
        <v>230</v>
      </c>
      <c r="D13" s="829">
        <v>2.6618064353166093</v>
      </c>
      <c r="E13" s="966"/>
      <c r="F13" s="966"/>
      <c r="G13" s="966"/>
      <c r="H13" s="966"/>
      <c r="J13" s="2"/>
    </row>
    <row r="14" spans="1:14">
      <c r="B14" s="127" t="s">
        <v>1382</v>
      </c>
      <c r="C14" s="46" t="s">
        <v>230</v>
      </c>
      <c r="D14" s="829">
        <v>175.39566782040308</v>
      </c>
      <c r="E14" s="966"/>
      <c r="F14" s="966"/>
      <c r="G14" s="966"/>
      <c r="H14" s="966"/>
      <c r="J14" s="2"/>
    </row>
    <row r="15" spans="1:14">
      <c r="B15" s="127" t="s">
        <v>1383</v>
      </c>
      <c r="C15" s="46" t="s">
        <v>230</v>
      </c>
      <c r="D15" s="829">
        <v>9.8983104599999994</v>
      </c>
      <c r="E15" s="966"/>
      <c r="F15" s="966"/>
      <c r="G15" s="966"/>
      <c r="H15" s="966"/>
      <c r="J15" s="2"/>
    </row>
    <row r="16" spans="1:14">
      <c r="B16" s="127" t="s">
        <v>1384</v>
      </c>
      <c r="C16" s="46" t="s">
        <v>230</v>
      </c>
      <c r="D16" s="829">
        <v>1.83210495</v>
      </c>
      <c r="E16" s="966"/>
      <c r="F16" s="966"/>
      <c r="G16" s="966"/>
      <c r="H16" s="966"/>
      <c r="J16" s="2"/>
      <c r="N16" s="61"/>
    </row>
    <row r="17" spans="1:15">
      <c r="B17" s="6" t="s">
        <v>873</v>
      </c>
      <c r="C17" s="46" t="s">
        <v>230</v>
      </c>
      <c r="D17" s="824">
        <f>D11-SUM(D13:D16)</f>
        <v>105.21211033428031</v>
      </c>
      <c r="E17" s="967">
        <f t="shared" ref="E17:H17" si="2">E11-SUM(E13:E16)</f>
        <v>0</v>
      </c>
      <c r="F17" s="967">
        <f t="shared" si="2"/>
        <v>0</v>
      </c>
      <c r="G17" s="967">
        <f t="shared" si="2"/>
        <v>0</v>
      </c>
      <c r="H17" s="967">
        <f t="shared" si="2"/>
        <v>0</v>
      </c>
      <c r="J17" s="2"/>
      <c r="O17" s="60"/>
    </row>
    <row r="18" spans="1:15">
      <c r="C18" s="6"/>
      <c r="D18" s="888"/>
      <c r="E18" s="888"/>
      <c r="F18" s="888"/>
      <c r="G18" s="888"/>
      <c r="H18" s="888"/>
      <c r="J18" s="2"/>
      <c r="N18" s="61"/>
    </row>
    <row r="19" spans="1:15">
      <c r="B19" s="6" t="s">
        <v>874</v>
      </c>
      <c r="C19" s="46" t="s">
        <v>230</v>
      </c>
      <c r="D19" s="829">
        <v>0</v>
      </c>
      <c r="E19" s="966"/>
      <c r="F19" s="966"/>
      <c r="G19" s="966"/>
      <c r="H19" s="966"/>
      <c r="J19" s="2"/>
    </row>
    <row r="20" spans="1:15">
      <c r="J20" s="2"/>
    </row>
    <row r="23" spans="1:15">
      <c r="A23" s="356" t="s">
        <v>875</v>
      </c>
      <c r="B23" s="358"/>
      <c r="C23" s="62"/>
      <c r="D23" s="230"/>
      <c r="E23" s="230"/>
      <c r="F23" s="230"/>
      <c r="G23" s="230"/>
      <c r="H23" s="230"/>
    </row>
    <row r="24" spans="1:15">
      <c r="D24" s="1124" t="str">
        <f>Reporting_Year&amp;" "&amp;"- Actuals"</f>
        <v>2022 - Actuals</v>
      </c>
      <c r="E24" s="1124"/>
      <c r="F24" s="1124"/>
      <c r="G24" s="1124"/>
      <c r="H24" s="1124"/>
    </row>
    <row r="25" spans="1:15">
      <c r="D25" s="968" t="s">
        <v>876</v>
      </c>
      <c r="E25" s="968" t="s">
        <v>877</v>
      </c>
      <c r="F25" s="968" t="s">
        <v>878</v>
      </c>
      <c r="G25" s="968" t="s">
        <v>879</v>
      </c>
      <c r="H25" s="968" t="s">
        <v>880</v>
      </c>
    </row>
    <row r="26" spans="1:15" ht="35.15" customHeight="1">
      <c r="C26" t="s">
        <v>881</v>
      </c>
      <c r="D26" s="804" t="s">
        <v>1385</v>
      </c>
      <c r="E26" s="804" t="s">
        <v>1386</v>
      </c>
      <c r="F26" s="804" t="s">
        <v>1387</v>
      </c>
      <c r="G26" s="804"/>
      <c r="H26" s="804"/>
    </row>
    <row r="27" spans="1:15" ht="44.5" customHeight="1">
      <c r="B27" s="6" t="s">
        <v>882</v>
      </c>
    </row>
    <row r="28" spans="1:15">
      <c r="B28" t="s">
        <v>883</v>
      </c>
      <c r="C28" s="46" t="s">
        <v>230</v>
      </c>
      <c r="D28" s="829">
        <v>6.2475000000000003E-2</v>
      </c>
      <c r="E28" s="829">
        <v>0.32092003000000002</v>
      </c>
      <c r="F28" s="829">
        <v>0.11356874</v>
      </c>
      <c r="G28" s="829">
        <v>0</v>
      </c>
      <c r="H28" s="829">
        <v>0</v>
      </c>
    </row>
    <row r="29" spans="1:15">
      <c r="B29" t="s">
        <v>884</v>
      </c>
      <c r="C29" s="46" t="s">
        <v>230</v>
      </c>
      <c r="D29" s="829">
        <v>2.036E-2</v>
      </c>
      <c r="E29" s="829">
        <v>0.28577140000000001</v>
      </c>
      <c r="F29" s="829">
        <v>6.6712259999999995E-2</v>
      </c>
      <c r="G29" s="829">
        <v>0</v>
      </c>
      <c r="H29" s="829">
        <v>0</v>
      </c>
    </row>
    <row r="30" spans="1:15">
      <c r="B30" s="127" t="s">
        <v>1388</v>
      </c>
      <c r="C30" s="46" t="s">
        <v>230</v>
      </c>
      <c r="D30" s="829">
        <v>0.30299999999999999</v>
      </c>
      <c r="E30" s="829">
        <v>0</v>
      </c>
      <c r="F30" s="829">
        <v>0</v>
      </c>
      <c r="G30" s="829">
        <v>0</v>
      </c>
      <c r="H30" s="829">
        <v>0</v>
      </c>
    </row>
    <row r="31" spans="1:15">
      <c r="B31" t="s">
        <v>885</v>
      </c>
      <c r="C31" s="46" t="s">
        <v>230</v>
      </c>
      <c r="D31" s="829">
        <v>0</v>
      </c>
      <c r="E31" s="829">
        <v>0</v>
      </c>
      <c r="F31" s="829">
        <v>0</v>
      </c>
      <c r="G31" s="829">
        <v>0</v>
      </c>
      <c r="H31" s="829">
        <v>0</v>
      </c>
    </row>
    <row r="32" spans="1:15">
      <c r="B32" s="52" t="s">
        <v>1389</v>
      </c>
      <c r="C32" s="46" t="s">
        <v>230</v>
      </c>
      <c r="D32" s="829">
        <v>0</v>
      </c>
      <c r="E32" s="829">
        <v>0</v>
      </c>
      <c r="F32" s="829">
        <v>5.6666400000000006E-3</v>
      </c>
      <c r="G32" s="829">
        <v>0</v>
      </c>
      <c r="H32" s="829">
        <v>0</v>
      </c>
    </row>
    <row r="33" spans="2:8">
      <c r="B33" s="127" t="s">
        <v>1390</v>
      </c>
      <c r="C33" s="46" t="s">
        <v>230</v>
      </c>
      <c r="D33" s="829">
        <v>2.2908000000000002E-4</v>
      </c>
      <c r="E33" s="829">
        <v>9.5641999999999993E-4</v>
      </c>
      <c r="F33" s="829">
        <v>2.4052700000000002E-3</v>
      </c>
      <c r="G33" s="829">
        <v>0</v>
      </c>
      <c r="H33" s="829">
        <v>0</v>
      </c>
    </row>
    <row r="34" spans="2:8">
      <c r="B34" t="s">
        <v>886</v>
      </c>
      <c r="C34" s="46" t="s">
        <v>230</v>
      </c>
      <c r="D34" s="829">
        <v>2.1474650000000001E-2</v>
      </c>
      <c r="E34" s="829">
        <v>9.9009199999999992E-2</v>
      </c>
      <c r="F34" s="829">
        <v>3.6412079999999999E-2</v>
      </c>
      <c r="G34" s="829">
        <v>0</v>
      </c>
      <c r="H34" s="829">
        <v>0</v>
      </c>
    </row>
    <row r="35" spans="2:8">
      <c r="B35" s="127" t="s">
        <v>773</v>
      </c>
      <c r="C35" s="46" t="s">
        <v>230</v>
      </c>
      <c r="D35" s="829">
        <v>0</v>
      </c>
      <c r="E35" s="829">
        <v>0</v>
      </c>
      <c r="F35" s="829">
        <v>0</v>
      </c>
      <c r="G35" s="829">
        <v>0</v>
      </c>
      <c r="H35" s="829">
        <v>0</v>
      </c>
    </row>
    <row r="36" spans="2:8">
      <c r="B36" s="6" t="s">
        <v>887</v>
      </c>
      <c r="C36" s="46" t="s">
        <v>230</v>
      </c>
      <c r="D36" s="824">
        <f>SUM(D28:D35)</f>
        <v>0.40753872999999996</v>
      </c>
      <c r="E36" s="824">
        <f>SUM(E28:E35)</f>
        <v>0.70665705000000001</v>
      </c>
      <c r="F36" s="824">
        <f>SUM(F28:F35)</f>
        <v>0.22476499</v>
      </c>
      <c r="G36" s="824">
        <f>SUM(G28:G35)</f>
        <v>0</v>
      </c>
      <c r="H36" s="824">
        <f>SUM(H28:H35)</f>
        <v>0</v>
      </c>
    </row>
    <row r="37" spans="2:8">
      <c r="B37" s="6" t="s">
        <v>888</v>
      </c>
      <c r="C37" s="46" t="s">
        <v>230</v>
      </c>
      <c r="D37" s="829">
        <v>0.36678485699999996</v>
      </c>
      <c r="E37" s="829">
        <v>0.63599134499999999</v>
      </c>
      <c r="F37" s="829">
        <v>0.20228849100000001</v>
      </c>
      <c r="G37" s="829">
        <v>0</v>
      </c>
      <c r="H37" s="829">
        <v>0</v>
      </c>
    </row>
    <row r="38" spans="2:8">
      <c r="B38" s="127"/>
    </row>
    <row r="39" spans="2:8">
      <c r="B39" s="6" t="s">
        <v>889</v>
      </c>
      <c r="D39" s="888"/>
      <c r="E39" s="888"/>
      <c r="F39" s="888"/>
      <c r="G39" s="888"/>
      <c r="H39" s="888"/>
    </row>
    <row r="40" spans="2:8">
      <c r="B40" t="s">
        <v>890</v>
      </c>
      <c r="C40" s="46" t="s">
        <v>230</v>
      </c>
      <c r="D40" s="829">
        <v>0</v>
      </c>
      <c r="E40" s="829">
        <v>0</v>
      </c>
      <c r="F40" s="829">
        <v>0</v>
      </c>
      <c r="G40" s="829">
        <v>0</v>
      </c>
      <c r="H40" s="829">
        <v>0</v>
      </c>
    </row>
    <row r="41" spans="2:8">
      <c r="B41" s="127" t="s">
        <v>773</v>
      </c>
      <c r="C41" s="46" t="s">
        <v>230</v>
      </c>
      <c r="D41" s="829">
        <v>0</v>
      </c>
      <c r="E41" s="829">
        <v>0</v>
      </c>
      <c r="F41" s="829">
        <v>0</v>
      </c>
      <c r="G41" s="829">
        <v>0</v>
      </c>
      <c r="H41" s="829">
        <v>0</v>
      </c>
    </row>
    <row r="42" spans="2:8">
      <c r="B42" t="s">
        <v>891</v>
      </c>
      <c r="C42" s="46" t="s">
        <v>230</v>
      </c>
      <c r="D42" s="829">
        <v>0.12452104391999999</v>
      </c>
      <c r="E42" s="829">
        <v>0.35758765294</v>
      </c>
      <c r="F42" s="829">
        <v>9.2682510479999994E-2</v>
      </c>
      <c r="G42" s="829">
        <v>0</v>
      </c>
      <c r="H42" s="829">
        <v>0</v>
      </c>
    </row>
    <row r="43" spans="2:8">
      <c r="B43" s="127" t="s">
        <v>773</v>
      </c>
      <c r="C43" s="46" t="s">
        <v>230</v>
      </c>
      <c r="D43" s="829">
        <v>0</v>
      </c>
      <c r="E43" s="829">
        <v>0</v>
      </c>
      <c r="F43" s="829">
        <v>0</v>
      </c>
      <c r="G43" s="829">
        <v>0</v>
      </c>
      <c r="H43" s="829">
        <v>0</v>
      </c>
    </row>
    <row r="44" spans="2:8">
      <c r="B44" s="6" t="s">
        <v>892</v>
      </c>
      <c r="C44" s="46" t="s">
        <v>230</v>
      </c>
      <c r="D44" s="902">
        <f t="shared" ref="D44:H44" si="3">SUM(D40:D43)</f>
        <v>0.12452104391999999</v>
      </c>
      <c r="E44" s="902">
        <f t="shared" si="3"/>
        <v>0.35758765294</v>
      </c>
      <c r="F44" s="902">
        <f t="shared" si="3"/>
        <v>9.2682510479999994E-2</v>
      </c>
      <c r="G44" s="902">
        <f t="shared" si="3"/>
        <v>0</v>
      </c>
      <c r="H44" s="902">
        <f t="shared" si="3"/>
        <v>0</v>
      </c>
    </row>
    <row r="45" spans="2:8">
      <c r="B45" s="6" t="s">
        <v>888</v>
      </c>
      <c r="C45" s="46" t="s">
        <v>230</v>
      </c>
      <c r="D45" s="829">
        <v>0.12452104391999999</v>
      </c>
      <c r="E45" s="829">
        <v>0.35758765294</v>
      </c>
      <c r="F45" s="829">
        <v>9.2682510479999994E-2</v>
      </c>
      <c r="G45" s="829">
        <v>0</v>
      </c>
      <c r="H45" s="829">
        <v>0</v>
      </c>
    </row>
    <row r="46" spans="2:8">
      <c r="D46" s="888"/>
      <c r="E46" s="888"/>
      <c r="F46" s="888"/>
      <c r="G46" s="888"/>
      <c r="H46" s="888"/>
    </row>
    <row r="47" spans="2:8">
      <c r="B47" s="6" t="s">
        <v>893</v>
      </c>
      <c r="C47" s="46" t="s">
        <v>230</v>
      </c>
      <c r="D47" s="902">
        <f t="shared" ref="D47:H47" si="4">SUM(D36,D44)</f>
        <v>0.53205977391999992</v>
      </c>
      <c r="E47" s="902">
        <f t="shared" si="4"/>
        <v>1.06424470294</v>
      </c>
      <c r="F47" s="902">
        <f t="shared" si="4"/>
        <v>0.31744750047999998</v>
      </c>
      <c r="G47" s="902">
        <f t="shared" si="4"/>
        <v>0</v>
      </c>
      <c r="H47" s="902">
        <f t="shared" si="4"/>
        <v>0</v>
      </c>
    </row>
    <row r="48" spans="2:8">
      <c r="B48" s="6" t="s">
        <v>894</v>
      </c>
      <c r="C48" s="46" t="s">
        <v>230</v>
      </c>
      <c r="D48" s="902">
        <f>D37+D45</f>
        <v>0.49130590091999993</v>
      </c>
      <c r="E48" s="902">
        <f t="shared" ref="E48:H48" si="5">E37+E45</f>
        <v>0.99357899794000004</v>
      </c>
      <c r="F48" s="902">
        <f t="shared" si="5"/>
        <v>0.29497100147999999</v>
      </c>
      <c r="G48" s="902">
        <f t="shared" si="5"/>
        <v>0</v>
      </c>
      <c r="H48" s="902">
        <f t="shared" si="5"/>
        <v>0</v>
      </c>
    </row>
    <row r="49" spans="2:14">
      <c r="D49" s="888"/>
      <c r="E49" s="888"/>
      <c r="F49" s="888"/>
      <c r="G49" s="888"/>
      <c r="H49" s="888"/>
    </row>
    <row r="50" spans="2:14">
      <c r="B50" s="6" t="s">
        <v>895</v>
      </c>
      <c r="D50" s="888"/>
      <c r="E50" s="888"/>
      <c r="F50" s="888"/>
      <c r="G50" s="888"/>
      <c r="H50" s="888"/>
    </row>
    <row r="51" spans="2:14">
      <c r="B51" t="s">
        <v>896</v>
      </c>
      <c r="C51" s="46" t="s">
        <v>897</v>
      </c>
      <c r="D51" s="829">
        <v>0</v>
      </c>
      <c r="E51" s="829">
        <v>0</v>
      </c>
      <c r="F51" s="829">
        <v>0</v>
      </c>
      <c r="G51" s="829">
        <v>0</v>
      </c>
      <c r="H51" s="829">
        <v>0</v>
      </c>
    </row>
    <row r="52" spans="2:14">
      <c r="B52" s="127" t="s">
        <v>773</v>
      </c>
      <c r="C52" s="46"/>
      <c r="D52" s="829">
        <v>0</v>
      </c>
      <c r="E52" s="829">
        <v>0</v>
      </c>
      <c r="F52" s="829">
        <v>0</v>
      </c>
      <c r="G52" s="829">
        <v>0</v>
      </c>
      <c r="H52" s="829">
        <v>0</v>
      </c>
    </row>
    <row r="53" spans="2:14">
      <c r="B53" t="s">
        <v>898</v>
      </c>
      <c r="C53" s="46" t="s">
        <v>194</v>
      </c>
      <c r="D53" s="969">
        <v>0</v>
      </c>
      <c r="E53" s="969">
        <v>0</v>
      </c>
      <c r="F53" s="969">
        <v>0</v>
      </c>
      <c r="G53" s="969">
        <v>0</v>
      </c>
      <c r="H53" s="969">
        <v>0</v>
      </c>
    </row>
    <row r="54" spans="2:14">
      <c r="B54" s="477" t="s">
        <v>899</v>
      </c>
      <c r="C54" s="46" t="s">
        <v>194</v>
      </c>
      <c r="D54" s="969">
        <v>0</v>
      </c>
      <c r="E54" s="969">
        <v>0</v>
      </c>
      <c r="F54" s="969">
        <v>0</v>
      </c>
      <c r="G54" s="969">
        <v>0</v>
      </c>
      <c r="H54" s="969">
        <v>0</v>
      </c>
    </row>
    <row r="55" spans="2:14">
      <c r="B55" s="6" t="s">
        <v>900</v>
      </c>
      <c r="C55" s="46" t="s">
        <v>230</v>
      </c>
      <c r="D55" s="829">
        <v>0</v>
      </c>
      <c r="E55" s="829">
        <v>0</v>
      </c>
      <c r="F55" s="829">
        <v>0</v>
      </c>
      <c r="G55" s="829">
        <v>0</v>
      </c>
      <c r="H55" s="829">
        <v>0</v>
      </c>
    </row>
    <row r="56" spans="2:14">
      <c r="B56" s="477" t="s">
        <v>901</v>
      </c>
      <c r="C56" s="46" t="s">
        <v>902</v>
      </c>
      <c r="D56" s="829">
        <v>0</v>
      </c>
      <c r="E56" s="829">
        <v>0</v>
      </c>
      <c r="F56" s="829">
        <v>0</v>
      </c>
      <c r="G56" s="829">
        <v>0</v>
      </c>
      <c r="H56" s="829">
        <v>0</v>
      </c>
    </row>
    <row r="57" spans="2:14">
      <c r="B57" s="477" t="s">
        <v>903</v>
      </c>
      <c r="C57" s="46" t="s">
        <v>904</v>
      </c>
      <c r="D57" s="829">
        <v>0</v>
      </c>
      <c r="E57" s="829">
        <v>0</v>
      </c>
      <c r="F57" s="829">
        <v>0</v>
      </c>
      <c r="G57" s="829">
        <v>0</v>
      </c>
      <c r="H57" s="829">
        <v>0</v>
      </c>
    </row>
    <row r="58" spans="2:14">
      <c r="B58" s="477" t="s">
        <v>905</v>
      </c>
      <c r="C58" s="46" t="s">
        <v>902</v>
      </c>
      <c r="D58" s="829">
        <v>0</v>
      </c>
      <c r="E58" s="829">
        <v>0</v>
      </c>
      <c r="F58" s="829">
        <v>0</v>
      </c>
      <c r="G58" s="829">
        <v>0</v>
      </c>
      <c r="H58" s="829">
        <v>0</v>
      </c>
    </row>
    <row r="59" spans="2:14">
      <c r="B59" s="6" t="s">
        <v>906</v>
      </c>
      <c r="C59" s="46" t="s">
        <v>230</v>
      </c>
      <c r="D59" s="824">
        <f>D57*D58</f>
        <v>0</v>
      </c>
      <c r="E59" s="824">
        <f t="shared" ref="E59:H59" si="6">E57*E58</f>
        <v>0</v>
      </c>
      <c r="F59" s="824">
        <f t="shared" si="6"/>
        <v>0</v>
      </c>
      <c r="G59" s="824">
        <f t="shared" si="6"/>
        <v>0</v>
      </c>
      <c r="H59" s="824">
        <f t="shared" si="6"/>
        <v>0</v>
      </c>
    </row>
    <row r="60" spans="2:14">
      <c r="C60" s="46"/>
      <c r="D60" s="888"/>
      <c r="E60" s="888"/>
      <c r="F60" s="888"/>
      <c r="G60" s="888"/>
      <c r="H60" s="888"/>
    </row>
    <row r="61" spans="2:14">
      <c r="B61" s="6" t="s">
        <v>907</v>
      </c>
      <c r="C61" s="46" t="s">
        <v>230</v>
      </c>
      <c r="D61" s="829">
        <v>0</v>
      </c>
      <c r="E61" s="829">
        <v>0</v>
      </c>
      <c r="F61" s="829">
        <v>0</v>
      </c>
      <c r="G61" s="829">
        <v>0</v>
      </c>
      <c r="H61" s="829">
        <v>0</v>
      </c>
    </row>
    <row r="62" spans="2:14">
      <c r="B62" s="6"/>
      <c r="C62" s="6"/>
      <c r="D62" s="965"/>
      <c r="E62" s="965"/>
      <c r="F62" s="965"/>
      <c r="G62" s="965"/>
      <c r="H62" s="965"/>
      <c r="I62" s="6"/>
      <c r="J62" s="6"/>
      <c r="K62" s="6"/>
      <c r="L62" s="6"/>
      <c r="M62" s="6"/>
      <c r="N62" s="6"/>
    </row>
    <row r="63" spans="2:14">
      <c r="B63" s="6" t="s">
        <v>908</v>
      </c>
      <c r="C63" s="46"/>
      <c r="D63" s="824">
        <f>D55+D59+D61</f>
        <v>0</v>
      </c>
      <c r="E63" s="824">
        <f>E55+E59+E61</f>
        <v>0</v>
      </c>
      <c r="F63" s="824">
        <f>F55+F59+F61</f>
        <v>0</v>
      </c>
      <c r="G63" s="824">
        <f>G55+G59+G61</f>
        <v>0</v>
      </c>
      <c r="H63" s="824">
        <f>H55+H59+H61</f>
        <v>0</v>
      </c>
    </row>
    <row r="64" spans="2:14">
      <c r="B64" s="6" t="s">
        <v>888</v>
      </c>
      <c r="C64" s="46" t="s">
        <v>230</v>
      </c>
      <c r="D64" s="829">
        <v>0</v>
      </c>
      <c r="E64" s="829">
        <v>0</v>
      </c>
      <c r="F64" s="829">
        <v>0</v>
      </c>
      <c r="G64" s="829">
        <v>0</v>
      </c>
      <c r="H64" s="829">
        <v>0</v>
      </c>
    </row>
    <row r="65" spans="1:12">
      <c r="B65" s="6"/>
      <c r="C65" s="46"/>
      <c r="D65" s="965"/>
      <c r="E65" s="965"/>
      <c r="F65" s="965"/>
      <c r="G65" s="965"/>
      <c r="H65" s="965"/>
      <c r="J65" s="6"/>
      <c r="K65" s="6"/>
    </row>
    <row r="66" spans="1:12">
      <c r="B66" s="6" t="s">
        <v>909</v>
      </c>
      <c r="C66" s="46" t="s">
        <v>230</v>
      </c>
      <c r="D66" s="824">
        <f>D47+D63</f>
        <v>0.53205977391999992</v>
      </c>
      <c r="E66" s="824">
        <f t="shared" ref="E66:H66" si="7">E47+E63</f>
        <v>1.06424470294</v>
      </c>
      <c r="F66" s="824">
        <f t="shared" si="7"/>
        <v>0.31744750047999998</v>
      </c>
      <c r="G66" s="824">
        <f t="shared" si="7"/>
        <v>0</v>
      </c>
      <c r="H66" s="824">
        <f t="shared" si="7"/>
        <v>0</v>
      </c>
    </row>
    <row r="67" spans="1:12">
      <c r="B67" s="6" t="s">
        <v>910</v>
      </c>
      <c r="C67" s="46" t="s">
        <v>230</v>
      </c>
      <c r="D67" s="824">
        <f>D48+D64</f>
        <v>0.49130590091999993</v>
      </c>
      <c r="E67" s="824">
        <f t="shared" ref="E67:H67" si="8">E48+E64</f>
        <v>0.99357899794000004</v>
      </c>
      <c r="F67" s="824">
        <f t="shared" si="8"/>
        <v>0.29497100147999999</v>
      </c>
      <c r="G67" s="824">
        <f t="shared" si="8"/>
        <v>0</v>
      </c>
      <c r="H67" s="824">
        <f t="shared" si="8"/>
        <v>0</v>
      </c>
      <c r="J67" s="6"/>
    </row>
    <row r="68" spans="1:12">
      <c r="B68" s="6"/>
      <c r="C68" s="46"/>
      <c r="D68" s="483"/>
      <c r="E68" s="483"/>
      <c r="F68" s="483"/>
      <c r="G68" s="483"/>
      <c r="H68" s="483"/>
      <c r="J68" s="6"/>
    </row>
    <row r="69" spans="1:12">
      <c r="B69" s="6" t="s">
        <v>911</v>
      </c>
      <c r="C69" s="46"/>
      <c r="D69" s="483"/>
      <c r="E69" s="483"/>
      <c r="F69" s="483"/>
      <c r="G69" s="483"/>
      <c r="H69" s="483"/>
      <c r="J69" s="6"/>
    </row>
    <row r="70" spans="1:12">
      <c r="B70" t="s">
        <v>912</v>
      </c>
      <c r="C70" s="46"/>
      <c r="D70" s="829">
        <v>23.8</v>
      </c>
      <c r="E70" s="483"/>
      <c r="F70" s="483"/>
      <c r="G70" s="483"/>
      <c r="H70" s="483"/>
      <c r="J70" s="6"/>
    </row>
    <row r="71" spans="1:12">
      <c r="B71" t="s">
        <v>913</v>
      </c>
      <c r="C71" s="46"/>
      <c r="D71" s="829">
        <v>18.8</v>
      </c>
      <c r="E71" s="483"/>
      <c r="F71" s="483"/>
      <c r="G71" s="483"/>
      <c r="H71" s="483"/>
      <c r="J71" s="6"/>
    </row>
    <row r="72" spans="1:12">
      <c r="B72" t="s">
        <v>914</v>
      </c>
      <c r="C72" s="46"/>
      <c r="D72" s="829">
        <v>14.9</v>
      </c>
      <c r="E72" s="483"/>
      <c r="F72" s="483"/>
      <c r="G72" s="483"/>
      <c r="H72" s="483"/>
      <c r="J72" s="6"/>
    </row>
    <row r="73" spans="1:12">
      <c r="B73" s="6"/>
      <c r="C73" s="46"/>
      <c r="D73" s="483"/>
      <c r="E73" s="483"/>
      <c r="F73" s="483"/>
      <c r="G73" s="483"/>
      <c r="H73" s="483"/>
      <c r="J73" s="6"/>
    </row>
    <row r="74" spans="1:12">
      <c r="A74" s="340" t="s">
        <v>915</v>
      </c>
      <c r="B74" s="6"/>
      <c r="C74" s="46"/>
      <c r="D74" s="46"/>
      <c r="E74" s="46"/>
      <c r="F74" s="46"/>
      <c r="G74" s="46"/>
      <c r="H74" s="46"/>
      <c r="I74" s="46"/>
      <c r="J74" s="46"/>
      <c r="K74" s="46"/>
      <c r="L74" s="46"/>
    </row>
    <row r="75" spans="1:12">
      <c r="A75" s="340" t="s">
        <v>916</v>
      </c>
      <c r="B75" s="6"/>
      <c r="C75" s="6"/>
      <c r="D75" s="970"/>
      <c r="E75" s="970"/>
      <c r="F75" s="970"/>
      <c r="G75" s="970"/>
      <c r="H75" s="970"/>
      <c r="I75" s="6"/>
      <c r="J75" s="6"/>
    </row>
    <row r="76" spans="1:12">
      <c r="A76" s="340"/>
      <c r="B76" s="6"/>
      <c r="C76" s="6"/>
      <c r="D76" s="970"/>
      <c r="E76" s="970"/>
      <c r="F76" s="970"/>
      <c r="G76" s="970"/>
      <c r="H76" s="970"/>
      <c r="I76" s="6"/>
      <c r="J76" s="6"/>
    </row>
    <row r="77" spans="1:12">
      <c r="B77" s="6" t="s">
        <v>917</v>
      </c>
    </row>
    <row r="78" spans="1:12">
      <c r="B78" s="6"/>
    </row>
    <row r="79" spans="1:12">
      <c r="B79" s="1037" t="s">
        <v>1062</v>
      </c>
      <c r="C79" s="1038"/>
      <c r="D79" s="1038"/>
      <c r="E79" s="1038"/>
      <c r="F79" s="1038"/>
      <c r="G79" s="1038"/>
      <c r="H79" s="1039"/>
    </row>
    <row r="80" spans="1:12">
      <c r="B80" s="976"/>
      <c r="C80" s="977"/>
      <c r="D80" s="977"/>
      <c r="E80" s="977"/>
      <c r="F80" s="977"/>
      <c r="G80" s="977"/>
      <c r="H80" s="978"/>
    </row>
    <row r="81" spans="2:8">
      <c r="B81" s="1034" t="s">
        <v>1082</v>
      </c>
      <c r="C81" s="1035"/>
      <c r="D81" s="1035"/>
      <c r="E81" s="1035"/>
      <c r="F81" s="1035"/>
      <c r="G81" s="1035"/>
      <c r="H81" s="1036"/>
    </row>
    <row r="82" spans="2:8">
      <c r="B82" s="1034" t="s">
        <v>1392</v>
      </c>
      <c r="C82" s="1035"/>
      <c r="D82" s="1035"/>
      <c r="E82" s="1035"/>
      <c r="F82" s="1035"/>
      <c r="G82" s="1035"/>
      <c r="H82" s="1036"/>
    </row>
    <row r="83" spans="2:8">
      <c r="B83" s="1034" t="s">
        <v>1077</v>
      </c>
      <c r="C83" s="1035"/>
      <c r="D83" s="1035"/>
      <c r="E83" s="1035"/>
      <c r="F83" s="1035"/>
      <c r="G83" s="1035"/>
      <c r="H83" s="1036"/>
    </row>
    <row r="84" spans="2:8">
      <c r="B84" s="1034" t="s">
        <v>1078</v>
      </c>
      <c r="C84" s="1035"/>
      <c r="D84" s="1035"/>
      <c r="E84" s="1035"/>
      <c r="F84" s="1035"/>
      <c r="G84" s="1035"/>
      <c r="H84" s="1036"/>
    </row>
    <row r="85" spans="2:8" ht="27" customHeight="1">
      <c r="B85" s="1034" t="s">
        <v>1079</v>
      </c>
      <c r="C85" s="1035"/>
      <c r="D85" s="1035"/>
      <c r="E85" s="1035"/>
      <c r="F85" s="1035"/>
      <c r="G85" s="1035"/>
      <c r="H85" s="1036"/>
    </row>
    <row r="86" spans="2:8" ht="28.5" customHeight="1">
      <c r="B86" s="1034" t="s">
        <v>1080</v>
      </c>
      <c r="C86" s="1035"/>
      <c r="D86" s="1035"/>
      <c r="E86" s="1035"/>
      <c r="F86" s="1035"/>
      <c r="G86" s="1035"/>
      <c r="H86" s="1036"/>
    </row>
    <row r="87" spans="2:8">
      <c r="B87" s="1034" t="s">
        <v>1081</v>
      </c>
      <c r="C87" s="1035"/>
      <c r="D87" s="1035"/>
      <c r="E87" s="1035"/>
      <c r="F87" s="1035"/>
      <c r="G87" s="1035"/>
      <c r="H87" s="1036"/>
    </row>
    <row r="88" spans="2:8">
      <c r="B88" s="976"/>
      <c r="C88" s="977"/>
      <c r="D88" s="977"/>
      <c r="E88" s="977"/>
      <c r="F88" s="977"/>
      <c r="G88" s="977"/>
      <c r="H88" s="978"/>
    </row>
    <row r="89" spans="2:8">
      <c r="B89" s="1034" t="s">
        <v>1083</v>
      </c>
      <c r="C89" s="1035"/>
      <c r="D89" s="1035"/>
      <c r="E89" s="1035"/>
      <c r="F89" s="1035"/>
      <c r="G89" s="1035"/>
      <c r="H89" s="1036"/>
    </row>
    <row r="90" spans="2:8">
      <c r="B90" s="1034"/>
      <c r="C90" s="1035"/>
      <c r="D90" s="1035"/>
      <c r="E90" s="1035"/>
      <c r="F90" s="1035"/>
      <c r="G90" s="1035"/>
      <c r="H90" s="1036"/>
    </row>
    <row r="91" spans="2:8" ht="27" customHeight="1">
      <c r="B91" s="1125" t="s">
        <v>1089</v>
      </c>
      <c r="C91" s="1041"/>
      <c r="D91" s="1041"/>
      <c r="E91" s="1041"/>
      <c r="F91" s="1041"/>
      <c r="G91" s="1041"/>
      <c r="H91" s="1042"/>
    </row>
  </sheetData>
  <sheetProtection algorithmName="SHA-512" hashValue="Pqh/atMw6kM+gBISandaobtkGA8QfV0EU6NKsglm4yO3YABHFDUekjlJ1/n0e3D2SAfANwT2lUXK8zYq0WdlJQ==" saltValue="86KuPkT0TpSw+9H5SFkDfQ==" spinCount="100000" sheet="1" objects="1" scenarios="1"/>
  <mergeCells count="12">
    <mergeCell ref="B91:H91"/>
    <mergeCell ref="B89:H89"/>
    <mergeCell ref="B90:H90"/>
    <mergeCell ref="B84:H84"/>
    <mergeCell ref="B85:H85"/>
    <mergeCell ref="B86:H86"/>
    <mergeCell ref="B87:H87"/>
    <mergeCell ref="D24:H24"/>
    <mergeCell ref="B79:H79"/>
    <mergeCell ref="B81:H81"/>
    <mergeCell ref="B82:H82"/>
    <mergeCell ref="B83:H83"/>
  </mergeCells>
  <phoneticPr fontId="265" type="noConversion"/>
  <conditionalFormatting sqref="D5:G6">
    <cfRule type="expression" dxfId="25" priority="43">
      <formula>AND(D$5="Actuals",E$5="N/A")</formula>
    </cfRule>
  </conditionalFormatting>
  <conditionalFormatting sqref="D5:H6 D40:F43 D66:H73 D28:H37 D45:H45 D64:H64 D51:H59">
    <cfRule type="expression" dxfId="24" priority="35">
      <formula>D$5="N/A"</formula>
    </cfRule>
  </conditionalFormatting>
  <conditionalFormatting sqref="D21:H21">
    <cfRule type="expression" priority="29">
      <formula>D$5="N/A"</formula>
    </cfRule>
  </conditionalFormatting>
  <conditionalFormatting sqref="H5:H6">
    <cfRule type="expression" dxfId="23" priority="282">
      <formula>AND(H$5="Actuals",#REF!="N/A")</formula>
    </cfRule>
  </conditionalFormatting>
  <conditionalFormatting sqref="D63:H63">
    <cfRule type="expression" dxfId="22" priority="21">
      <formula>D$5="N/A"</formula>
    </cfRule>
  </conditionalFormatting>
  <conditionalFormatting sqref="D7:H7">
    <cfRule type="expression" dxfId="21" priority="18">
      <formula>AND(D$5="Actuals",E$5="Forecast")</formula>
    </cfRule>
  </conditionalFormatting>
  <conditionalFormatting sqref="D11">
    <cfRule type="expression" dxfId="20" priority="15">
      <formula>D$5="Forecast"</formula>
    </cfRule>
  </conditionalFormatting>
  <conditionalFormatting sqref="E11:H11">
    <cfRule type="expression" dxfId="19" priority="8">
      <formula>E$5="Forecast"</formula>
    </cfRule>
  </conditionalFormatting>
  <conditionalFormatting sqref="D13:D16">
    <cfRule type="expression" dxfId="18" priority="12">
      <formula>D$5="Forecast"</formula>
    </cfRule>
  </conditionalFormatting>
  <conditionalFormatting sqref="D19">
    <cfRule type="expression" dxfId="17" priority="10">
      <formula>D$5="Forecast"</formula>
    </cfRule>
  </conditionalFormatting>
  <conditionalFormatting sqref="D17">
    <cfRule type="expression" dxfId="16" priority="9">
      <formula>D$5="Forecast"</formula>
    </cfRule>
  </conditionalFormatting>
  <conditionalFormatting sqref="E13:H15">
    <cfRule type="expression" dxfId="15" priority="7">
      <formula>E$5="Forecast"</formula>
    </cfRule>
  </conditionalFormatting>
  <conditionalFormatting sqref="E16:H16">
    <cfRule type="expression" dxfId="14" priority="6">
      <formula>E$5="Forecast"</formula>
    </cfRule>
  </conditionalFormatting>
  <conditionalFormatting sqref="E19:H19">
    <cfRule type="expression" dxfId="13" priority="5">
      <formula>E$5="Forecast"</formula>
    </cfRule>
  </conditionalFormatting>
  <conditionalFormatting sqref="E17:H17">
    <cfRule type="expression" dxfId="12" priority="4">
      <formula>E$5="Forecast"</formula>
    </cfRule>
  </conditionalFormatting>
  <conditionalFormatting sqref="D61:F61">
    <cfRule type="expression" dxfId="11" priority="3">
      <formula>D$5="N/A"</formula>
    </cfRule>
  </conditionalFormatting>
  <conditionalFormatting sqref="G40:H43">
    <cfRule type="expression" dxfId="10" priority="2">
      <formula>G$5="N/A"</formula>
    </cfRule>
  </conditionalFormatting>
  <conditionalFormatting sqref="G61:H61">
    <cfRule type="expression" dxfId="9" priority="1">
      <formula>G$5="N/A"</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tabColor rgb="FFFFFFCC"/>
    <pageSetUpPr fitToPage="1"/>
  </sheetPr>
  <dimension ref="A1:J67"/>
  <sheetViews>
    <sheetView showGridLines="0" zoomScaleNormal="100" workbookViewId="0">
      <pane ySplit="6" topLeftCell="A7" activePane="bottomLeft" state="frozen"/>
      <selection activeCell="D15" sqref="D15"/>
      <selection pane="bottomLeft" activeCell="M5" sqref="M5"/>
    </sheetView>
  </sheetViews>
  <sheetFormatPr defaultRowHeight="13.5"/>
  <cols>
    <col min="1" max="1" width="8.3828125" customWidth="1"/>
    <col min="2" max="2" width="82" customWidth="1"/>
    <col min="3" max="3" width="14.15234375" customWidth="1"/>
    <col min="4" max="8" width="11.15234375" style="24" customWidth="1"/>
    <col min="9" max="9" width="6.61328125" bestFit="1" customWidth="1"/>
  </cols>
  <sheetData>
    <row r="1" spans="1:10" ht="20">
      <c r="A1" s="677" t="s">
        <v>918</v>
      </c>
      <c r="B1" s="381"/>
      <c r="C1" s="382"/>
      <c r="D1" s="847"/>
      <c r="E1" s="847"/>
      <c r="F1" s="847"/>
      <c r="G1" s="847"/>
      <c r="H1" s="847"/>
      <c r="I1" s="684"/>
    </row>
    <row r="2" spans="1:10" ht="20">
      <c r="A2" s="295" t="str">
        <f>Licensee</f>
        <v>NGGT (TO)</v>
      </c>
      <c r="B2" s="290"/>
      <c r="C2" s="15"/>
      <c r="D2" s="850"/>
      <c r="E2" s="850"/>
      <c r="F2" s="850"/>
      <c r="G2" s="850"/>
      <c r="H2" s="850"/>
      <c r="I2" s="38"/>
    </row>
    <row r="3" spans="1:10" ht="20">
      <c r="A3" s="534">
        <f>Reporting_Year</f>
        <v>2022</v>
      </c>
      <c r="B3" s="534"/>
      <c r="C3" s="524"/>
      <c r="D3" s="852"/>
      <c r="E3" s="852"/>
      <c r="F3" s="852"/>
      <c r="G3" s="852"/>
      <c r="H3" s="852"/>
      <c r="I3" s="68"/>
    </row>
    <row r="4" spans="1:10" s="2" customFormat="1" ht="12.75" customHeight="1">
      <c r="B4" s="3"/>
      <c r="C4"/>
      <c r="D4" s="971"/>
      <c r="E4" s="971"/>
      <c r="F4" s="337"/>
      <c r="G4" s="337"/>
      <c r="H4" s="337"/>
    </row>
    <row r="5" spans="1:10" s="2" customFormat="1" ht="12.75" customHeight="1">
      <c r="B5" s="3"/>
      <c r="C5"/>
      <c r="D5" s="512" t="str">
        <f t="shared" ref="D5:H5" si="0">IF(D6&lt;=Reporting_Year,"Actuals","Forecast")</f>
        <v>Actuals</v>
      </c>
      <c r="E5" s="512" t="str">
        <f t="shared" si="0"/>
        <v>Forecast</v>
      </c>
      <c r="F5" s="512" t="str">
        <f t="shared" si="0"/>
        <v>Forecast</v>
      </c>
      <c r="G5" s="512" t="str">
        <f t="shared" si="0"/>
        <v>Forecast</v>
      </c>
      <c r="H5" s="512" t="str">
        <f t="shared" si="0"/>
        <v>Forecast</v>
      </c>
      <c r="I5" s="1"/>
    </row>
    <row r="6" spans="1:10" s="2" customFormat="1">
      <c r="C6"/>
      <c r="D6" s="401">
        <f>'RFPR cover'!$C$6</f>
        <v>2022</v>
      </c>
      <c r="E6" s="401">
        <f>D6+1</f>
        <v>2023</v>
      </c>
      <c r="F6" s="401">
        <f t="shared" ref="F6:H6" si="1">E6+1</f>
        <v>2024</v>
      </c>
      <c r="G6" s="401">
        <f t="shared" si="1"/>
        <v>2025</v>
      </c>
      <c r="H6" s="401">
        <f t="shared" si="1"/>
        <v>2026</v>
      </c>
      <c r="I6" s="1"/>
    </row>
    <row r="7" spans="1:10" s="2" customFormat="1">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c r="I7" s="1"/>
    </row>
    <row r="8" spans="1:10" s="2" customFormat="1">
      <c r="D8" s="337"/>
      <c r="E8" s="337"/>
      <c r="F8" s="337"/>
      <c r="G8" s="337"/>
      <c r="H8" s="337"/>
      <c r="I8" s="1"/>
    </row>
    <row r="9" spans="1:10" s="2" customFormat="1">
      <c r="B9" s="35" t="s">
        <v>919</v>
      </c>
      <c r="C9" s="44"/>
      <c r="D9" s="891"/>
      <c r="E9" s="891"/>
      <c r="F9" s="891"/>
      <c r="G9" s="891"/>
      <c r="H9" s="891"/>
      <c r="I9" s="1"/>
    </row>
    <row r="10" spans="1:10" s="2" customFormat="1">
      <c r="B10" s="5"/>
      <c r="C10" s="42"/>
      <c r="D10" s="337"/>
      <c r="E10" s="337"/>
      <c r="F10" s="337"/>
      <c r="G10" s="337"/>
      <c r="H10" s="337"/>
      <c r="I10" s="1"/>
    </row>
    <row r="11" spans="1:10" s="2" customFormat="1">
      <c r="B11" s="5"/>
      <c r="C11" s="42"/>
      <c r="D11" s="337"/>
      <c r="E11" s="337"/>
      <c r="F11" s="337"/>
      <c r="G11" s="337"/>
      <c r="H11" s="337"/>
      <c r="I11" s="1"/>
    </row>
    <row r="12" spans="1:10">
      <c r="B12" s="6" t="s">
        <v>920</v>
      </c>
      <c r="C12" s="46" t="s">
        <v>230</v>
      </c>
      <c r="D12" s="972">
        <v>0</v>
      </c>
      <c r="E12" s="972"/>
      <c r="F12" s="972"/>
      <c r="G12" s="972"/>
      <c r="H12" s="972"/>
      <c r="I12" s="1"/>
      <c r="J12" s="2"/>
    </row>
    <row r="13" spans="1:10">
      <c r="B13" s="8" t="s">
        <v>921</v>
      </c>
      <c r="D13" s="888"/>
      <c r="E13" s="888"/>
      <c r="F13" s="888"/>
      <c r="G13" s="888"/>
      <c r="H13" s="888"/>
      <c r="J13" s="2"/>
    </row>
    <row r="14" spans="1:10">
      <c r="B14" t="s">
        <v>922</v>
      </c>
      <c r="C14" s="46" t="s">
        <v>230</v>
      </c>
      <c r="D14" s="972">
        <v>0</v>
      </c>
      <c r="E14" s="972"/>
      <c r="F14" s="972"/>
      <c r="G14" s="972"/>
      <c r="H14" s="972"/>
      <c r="I14" s="1"/>
      <c r="J14" s="2"/>
    </row>
    <row r="15" spans="1:10">
      <c r="B15" t="s">
        <v>923</v>
      </c>
      <c r="C15" s="46" t="s">
        <v>230</v>
      </c>
      <c r="D15" s="972">
        <v>0</v>
      </c>
      <c r="E15" s="972"/>
      <c r="F15" s="972"/>
      <c r="G15" s="972"/>
      <c r="H15" s="972"/>
      <c r="I15" s="1"/>
      <c r="J15" s="2"/>
    </row>
    <row r="16" spans="1:10">
      <c r="D16" s="888"/>
      <c r="E16" s="888"/>
      <c r="F16" s="888"/>
      <c r="G16" s="888"/>
      <c r="H16" s="888"/>
      <c r="I16" s="1"/>
      <c r="J16" s="2"/>
    </row>
    <row r="17" spans="2:10">
      <c r="D17" s="888"/>
      <c r="E17" s="888"/>
      <c r="F17" s="888"/>
      <c r="G17" s="888"/>
      <c r="H17" s="888"/>
      <c r="I17" s="1"/>
      <c r="J17" s="2"/>
    </row>
    <row r="18" spans="2:10">
      <c r="B18" t="s">
        <v>922</v>
      </c>
      <c r="C18" s="58" t="str">
        <f>Data!$C$9</f>
        <v>£m 18/19</v>
      </c>
      <c r="D18" s="873">
        <f t="shared" ref="D18:H18" si="2">D$14/INDEX(real_to_nominal_CF,MATCH(D6,calendar_year,0))</f>
        <v>0</v>
      </c>
      <c r="E18" s="873">
        <f t="shared" si="2"/>
        <v>0</v>
      </c>
      <c r="F18" s="873">
        <f t="shared" si="2"/>
        <v>0</v>
      </c>
      <c r="G18" s="873">
        <f t="shared" si="2"/>
        <v>0</v>
      </c>
      <c r="H18" s="873">
        <f t="shared" si="2"/>
        <v>0</v>
      </c>
      <c r="I18" s="1"/>
      <c r="J18" s="2"/>
    </row>
    <row r="19" spans="2:10">
      <c r="D19" s="888"/>
      <c r="E19" s="888"/>
      <c r="F19" s="888"/>
      <c r="G19" s="888"/>
      <c r="H19" s="888"/>
      <c r="I19" s="1"/>
      <c r="J19" s="2"/>
    </row>
    <row r="20" spans="2:10">
      <c r="D20" s="888"/>
      <c r="E20" s="888"/>
      <c r="F20" s="888"/>
      <c r="G20" s="888"/>
      <c r="H20" s="888"/>
      <c r="I20" s="1"/>
      <c r="J20" s="2"/>
    </row>
    <row r="21" spans="2:10" s="2" customFormat="1">
      <c r="B21" s="6" t="s">
        <v>924</v>
      </c>
      <c r="C21" s="58" t="str">
        <f>Data!$C$9</f>
        <v>£m 18/19</v>
      </c>
      <c r="D21" s="945">
        <v>-11</v>
      </c>
      <c r="E21" s="945">
        <v>-11</v>
      </c>
      <c r="F21" s="945">
        <v>-11</v>
      </c>
      <c r="G21" s="945">
        <v>0</v>
      </c>
      <c r="H21" s="945">
        <v>0</v>
      </c>
      <c r="I21" s="1"/>
    </row>
    <row r="22" spans="2:10" s="2" customFormat="1">
      <c r="B22" t="s">
        <v>925</v>
      </c>
      <c r="C22" s="58" t="str">
        <f>Data!$C$9</f>
        <v>£m 18/19</v>
      </c>
      <c r="D22" s="920">
        <v>-11</v>
      </c>
      <c r="E22" s="920">
        <v>-11</v>
      </c>
      <c r="F22" s="920">
        <v>-11</v>
      </c>
      <c r="G22" s="920">
        <v>0</v>
      </c>
      <c r="H22" s="920">
        <v>0</v>
      </c>
      <c r="I22" s="1"/>
    </row>
    <row r="23" spans="2:10" s="2" customFormat="1">
      <c r="B23" s="6" t="s">
        <v>926</v>
      </c>
      <c r="C23" s="58" t="str">
        <f>Data!$C$9</f>
        <v>£m 18/19</v>
      </c>
      <c r="D23" s="873">
        <f>D21-D22</f>
        <v>0</v>
      </c>
      <c r="E23" s="873">
        <f t="shared" ref="E23:H23" si="3">E21-E22</f>
        <v>0</v>
      </c>
      <c r="F23" s="873">
        <f t="shared" si="3"/>
        <v>0</v>
      </c>
      <c r="G23" s="873">
        <f t="shared" si="3"/>
        <v>0</v>
      </c>
      <c r="H23" s="873">
        <f t="shared" si="3"/>
        <v>0</v>
      </c>
      <c r="I23" s="1"/>
    </row>
    <row r="24" spans="2:10" s="2" customFormat="1">
      <c r="B24" s="6"/>
      <c r="C24" s="6"/>
      <c r="D24" s="970"/>
      <c r="E24" s="970"/>
      <c r="F24" s="970"/>
      <c r="G24" s="970"/>
      <c r="H24" s="970"/>
      <c r="I24" s="1"/>
    </row>
    <row r="25" spans="2:10" s="2" customFormat="1">
      <c r="B25" s="6"/>
      <c r="C25" s="6"/>
      <c r="D25" s="1126" t="s">
        <v>927</v>
      </c>
      <c r="E25" s="970"/>
      <c r="F25" s="970"/>
      <c r="G25" s="970"/>
      <c r="H25" s="970"/>
      <c r="I25" s="1"/>
    </row>
    <row r="26" spans="2:10" s="2" customFormat="1" ht="12.75" customHeight="1">
      <c r="B26" s="6"/>
      <c r="C26" s="6"/>
      <c r="D26" s="1126"/>
      <c r="E26" s="970"/>
      <c r="F26" s="970"/>
      <c r="G26" s="970"/>
      <c r="H26" s="970"/>
      <c r="I26" s="1"/>
    </row>
    <row r="27" spans="2:10">
      <c r="C27" s="6"/>
      <c r="D27" s="1126"/>
      <c r="E27" s="970"/>
      <c r="I27" s="1"/>
    </row>
    <row r="28" spans="2:10">
      <c r="B28" s="6" t="s">
        <v>928</v>
      </c>
      <c r="C28" s="6"/>
      <c r="D28" s="975" t="s">
        <v>1125</v>
      </c>
      <c r="I28" s="1"/>
    </row>
    <row r="29" spans="2:10">
      <c r="B29" s="6"/>
      <c r="C29" s="6"/>
      <c r="D29" s="973"/>
      <c r="E29" s="974"/>
      <c r="F29" s="974"/>
      <c r="I29" s="1"/>
    </row>
    <row r="30" spans="2:10">
      <c r="B30" t="s">
        <v>793</v>
      </c>
      <c r="C30" s="6"/>
      <c r="D30" s="541">
        <v>2019</v>
      </c>
      <c r="E30" s="974"/>
      <c r="F30" s="974"/>
      <c r="I30" s="1"/>
    </row>
    <row r="31" spans="2:10">
      <c r="C31" s="6"/>
      <c r="D31" s="973"/>
      <c r="E31" s="974"/>
      <c r="F31" s="974"/>
      <c r="I31" s="1"/>
    </row>
    <row r="32" spans="2:10">
      <c r="B32" s="6"/>
      <c r="D32" s="122"/>
      <c r="E32" s="974"/>
      <c r="F32" s="974"/>
      <c r="I32" s="1"/>
    </row>
    <row r="33" spans="2:9">
      <c r="B33" t="s">
        <v>929</v>
      </c>
      <c r="C33" s="568" t="str">
        <f>"£m "&amp;$D$30</f>
        <v>£m 2019</v>
      </c>
      <c r="D33" s="920">
        <v>194.739354994389</v>
      </c>
      <c r="I33" s="1"/>
    </row>
    <row r="34" spans="2:9">
      <c r="B34" t="s">
        <v>930</v>
      </c>
      <c r="C34" s="568" t="str">
        <f>"£m "&amp;$D$30</f>
        <v>£m 2019</v>
      </c>
      <c r="D34" s="920">
        <v>5631.9606450056099</v>
      </c>
      <c r="I34" s="1"/>
    </row>
    <row r="35" spans="2:9">
      <c r="C35" s="122"/>
      <c r="D35" s="888"/>
      <c r="I35" s="1"/>
    </row>
    <row r="36" spans="2:9">
      <c r="B36" t="s">
        <v>931</v>
      </c>
      <c r="C36" s="568" t="str">
        <f>"£m "&amp;$D$30</f>
        <v>£m 2019</v>
      </c>
      <c r="D36" s="920">
        <v>116.6</v>
      </c>
      <c r="I36" s="1"/>
    </row>
    <row r="37" spans="2:9">
      <c r="B37" t="s">
        <v>932</v>
      </c>
      <c r="C37" s="568" t="str">
        <f>"£m "&amp;$D$30</f>
        <v>£m 2019</v>
      </c>
      <c r="D37" s="920">
        <v>5643.7</v>
      </c>
      <c r="I37" s="1"/>
    </row>
    <row r="38" spans="2:9">
      <c r="C38" s="122"/>
      <c r="D38" s="888"/>
      <c r="I38" s="1"/>
    </row>
    <row r="39" spans="2:9">
      <c r="B39" s="22" t="s">
        <v>933</v>
      </c>
      <c r="C39" s="568" t="str">
        <f>"£m "&amp;$D$30</f>
        <v>£m 2019</v>
      </c>
      <c r="D39" s="873">
        <f>D33-D36</f>
        <v>78.139354994389009</v>
      </c>
      <c r="I39" s="1"/>
    </row>
    <row r="40" spans="2:9">
      <c r="B40" s="22" t="s">
        <v>934</v>
      </c>
      <c r="C40" s="568" t="str">
        <f>"£m "&amp;$D$30</f>
        <v>£m 2019</v>
      </c>
      <c r="D40" s="873">
        <f>D34-D37</f>
        <v>-11.739354994389942</v>
      </c>
      <c r="I40" s="1"/>
    </row>
    <row r="41" spans="2:9">
      <c r="C41" s="122"/>
      <c r="D41" s="888"/>
      <c r="I41" s="1"/>
    </row>
    <row r="42" spans="2:9">
      <c r="B42" t="s">
        <v>935</v>
      </c>
      <c r="C42" s="568" t="str">
        <f>"£m "&amp;$D$30</f>
        <v>£m 2019</v>
      </c>
      <c r="D42" s="920">
        <v>-11.1568530925834</v>
      </c>
      <c r="I42" s="1"/>
    </row>
    <row r="43" spans="2:9">
      <c r="B43" t="s">
        <v>936</v>
      </c>
      <c r="C43" s="568" t="str">
        <f>"£m "&amp;$D$30</f>
        <v>£m 2019</v>
      </c>
      <c r="D43" s="920">
        <v>50.524229507627297</v>
      </c>
      <c r="I43" s="1"/>
    </row>
    <row r="44" spans="2:9">
      <c r="I44" s="1"/>
    </row>
    <row r="45" spans="2:9">
      <c r="I45" s="1"/>
    </row>
    <row r="46" spans="2:9">
      <c r="I46" s="1"/>
    </row>
    <row r="47" spans="2:9">
      <c r="B47" s="35" t="s">
        <v>937</v>
      </c>
      <c r="C47" s="44"/>
      <c r="D47" s="891"/>
      <c r="E47" s="891"/>
      <c r="F47" s="891"/>
      <c r="G47" s="891"/>
      <c r="H47" s="891"/>
      <c r="I47" s="1"/>
    </row>
    <row r="48" spans="2:9">
      <c r="I48" s="1"/>
    </row>
    <row r="49" spans="1:9">
      <c r="I49" s="1"/>
    </row>
    <row r="50" spans="1:9">
      <c r="I50" s="1"/>
    </row>
    <row r="51" spans="1:9">
      <c r="A51" s="2"/>
      <c r="B51" s="3"/>
      <c r="C51" s="3"/>
      <c r="D51" s="512" t="str">
        <f t="shared" ref="D51:H51" si="4">IF(D52&lt;=Reporting_Year,"Actuals","Forecast")</f>
        <v>Actuals</v>
      </c>
      <c r="E51" s="512" t="str">
        <f t="shared" si="4"/>
        <v>Forecast</v>
      </c>
      <c r="F51" s="512" t="str">
        <f t="shared" si="4"/>
        <v>Forecast</v>
      </c>
      <c r="G51" s="512" t="str">
        <f t="shared" si="4"/>
        <v>Forecast</v>
      </c>
      <c r="H51" s="512" t="str">
        <f t="shared" si="4"/>
        <v>Forecast</v>
      </c>
      <c r="I51" s="1"/>
    </row>
    <row r="52" spans="1:9">
      <c r="A52" s="2"/>
      <c r="B52" s="2"/>
      <c r="C52" s="6"/>
      <c r="D52" s="401">
        <f>'RFPR cover'!$C$6</f>
        <v>2022</v>
      </c>
      <c r="E52" s="401">
        <f t="shared" ref="E52:H52" si="5">D52+1</f>
        <v>2023</v>
      </c>
      <c r="F52" s="401">
        <f t="shared" si="5"/>
        <v>2024</v>
      </c>
      <c r="G52" s="401">
        <f t="shared" si="5"/>
        <v>2025</v>
      </c>
      <c r="H52" s="401">
        <f t="shared" si="5"/>
        <v>2026</v>
      </c>
      <c r="I52" s="1"/>
    </row>
    <row r="53" spans="1:9">
      <c r="D53" s="483"/>
      <c r="E53" s="483"/>
      <c r="F53" s="483"/>
      <c r="G53" s="483"/>
      <c r="H53" s="483"/>
      <c r="I53" s="1"/>
    </row>
    <row r="54" spans="1:9">
      <c r="B54" s="5" t="s">
        <v>938</v>
      </c>
      <c r="C54" s="58" t="str">
        <f>Data!$C$9</f>
        <v>£m 18/19</v>
      </c>
      <c r="D54" s="825">
        <f>(D$62+D$67)/INDEX(real_to_nominal_CF,MATCH('R10 - Pensions &amp; Oth Activities'!D52,calendar_year,0))</f>
        <v>0</v>
      </c>
      <c r="E54" s="825">
        <f>(E$62+E$67)/INDEX(real_to_nominal_CF,MATCH('R10 - Pensions &amp; Oth Activities'!E52,calendar_year,0))</f>
        <v>0</v>
      </c>
      <c r="F54" s="825">
        <f>(F$62+F$67)/INDEX(real_to_nominal_CF,MATCH('R10 - Pensions &amp; Oth Activities'!F52,calendar_year,0))</f>
        <v>0</v>
      </c>
      <c r="G54" s="825">
        <f>(G$62+G$67)/INDEX(real_to_nominal_CF,MATCH('R10 - Pensions &amp; Oth Activities'!G52,calendar_year,0))</f>
        <v>0</v>
      </c>
      <c r="H54" s="825">
        <f>(H$62+H$67)/INDEX(real_to_nominal_CF,MATCH('R10 - Pensions &amp; Oth Activities'!H52,calendar_year,0))</f>
        <v>0</v>
      </c>
      <c r="I54" s="1"/>
    </row>
    <row r="55" spans="1:9">
      <c r="D55" s="840"/>
      <c r="E55" s="840"/>
      <c r="F55" s="840"/>
      <c r="G55" s="840"/>
      <c r="H55" s="840"/>
    </row>
    <row r="56" spans="1:9">
      <c r="B56" s="6" t="s">
        <v>939</v>
      </c>
      <c r="D56" s="840"/>
      <c r="E56" s="840"/>
      <c r="F56" s="840"/>
      <c r="G56" s="840"/>
      <c r="H56" s="840"/>
    </row>
    <row r="57" spans="1:9">
      <c r="B57" s="574" t="s">
        <v>940</v>
      </c>
      <c r="C57" s="46" t="s">
        <v>230</v>
      </c>
      <c r="D57" s="829">
        <v>0</v>
      </c>
      <c r="E57" s="829">
        <v>0</v>
      </c>
      <c r="F57" s="829">
        <v>0</v>
      </c>
      <c r="G57" s="829">
        <v>0</v>
      </c>
      <c r="H57" s="829">
        <v>0</v>
      </c>
    </row>
    <row r="58" spans="1:9">
      <c r="B58" s="574" t="s">
        <v>940</v>
      </c>
      <c r="C58" s="46" t="s">
        <v>230</v>
      </c>
      <c r="D58" s="829">
        <v>0</v>
      </c>
      <c r="E58" s="829">
        <v>0</v>
      </c>
      <c r="F58" s="829">
        <v>0</v>
      </c>
      <c r="G58" s="829">
        <v>0</v>
      </c>
      <c r="H58" s="829">
        <v>0</v>
      </c>
    </row>
    <row r="59" spans="1:9">
      <c r="B59" s="574" t="s">
        <v>773</v>
      </c>
      <c r="C59" s="46" t="s">
        <v>230</v>
      </c>
      <c r="D59" s="829">
        <v>0</v>
      </c>
      <c r="E59" s="829">
        <v>0</v>
      </c>
      <c r="F59" s="829">
        <v>0</v>
      </c>
      <c r="G59" s="829">
        <v>0</v>
      </c>
      <c r="H59" s="829">
        <v>0</v>
      </c>
    </row>
    <row r="60" spans="1:9">
      <c r="B60" s="6" t="s">
        <v>941</v>
      </c>
      <c r="C60" s="46" t="s">
        <v>230</v>
      </c>
      <c r="D60" s="825">
        <f t="shared" ref="D60:H60" si="6">SUM(D57:D59)</f>
        <v>0</v>
      </c>
      <c r="E60" s="825">
        <f t="shared" si="6"/>
        <v>0</v>
      </c>
      <c r="F60" s="825">
        <f t="shared" si="6"/>
        <v>0</v>
      </c>
      <c r="G60" s="825">
        <f t="shared" si="6"/>
        <v>0</v>
      </c>
      <c r="H60" s="825">
        <f t="shared" si="6"/>
        <v>0</v>
      </c>
    </row>
    <row r="61" spans="1:9">
      <c r="B61" s="2" t="s">
        <v>942</v>
      </c>
      <c r="C61" s="46" t="s">
        <v>230</v>
      </c>
      <c r="D61" s="829">
        <v>0</v>
      </c>
      <c r="E61" s="829">
        <v>0</v>
      </c>
      <c r="F61" s="829">
        <v>0</v>
      </c>
      <c r="G61" s="829">
        <v>0</v>
      </c>
      <c r="H61" s="829">
        <v>0</v>
      </c>
    </row>
    <row r="62" spans="1:9">
      <c r="B62" s="5" t="s">
        <v>943</v>
      </c>
      <c r="C62" s="46" t="s">
        <v>230</v>
      </c>
      <c r="D62" s="825">
        <f t="shared" ref="D62:H62" si="7">D60-D61</f>
        <v>0</v>
      </c>
      <c r="E62" s="825">
        <f t="shared" si="7"/>
        <v>0</v>
      </c>
      <c r="F62" s="825">
        <f t="shared" si="7"/>
        <v>0</v>
      </c>
      <c r="G62" s="825">
        <f t="shared" si="7"/>
        <v>0</v>
      </c>
      <c r="H62" s="825">
        <f t="shared" si="7"/>
        <v>0</v>
      </c>
    </row>
    <row r="63" spans="1:9">
      <c r="D63" s="888"/>
      <c r="E63" s="888"/>
      <c r="F63" s="888"/>
      <c r="G63" s="888"/>
      <c r="H63" s="888"/>
    </row>
    <row r="64" spans="1:9">
      <c r="B64" s="6" t="s">
        <v>944</v>
      </c>
      <c r="D64" s="840"/>
      <c r="E64" s="840"/>
      <c r="F64" s="840"/>
      <c r="G64" s="840"/>
      <c r="H64" s="840"/>
    </row>
    <row r="65" spans="2:8">
      <c r="B65" s="574" t="s">
        <v>945</v>
      </c>
      <c r="C65" s="46" t="s">
        <v>230</v>
      </c>
      <c r="D65" s="829">
        <v>0</v>
      </c>
      <c r="E65" s="829">
        <v>0</v>
      </c>
      <c r="F65" s="829">
        <v>0</v>
      </c>
      <c r="G65" s="829">
        <v>0</v>
      </c>
      <c r="H65" s="829">
        <v>0</v>
      </c>
    </row>
    <row r="66" spans="2:8">
      <c r="B66" s="2" t="s">
        <v>942</v>
      </c>
      <c r="C66" s="46" t="s">
        <v>230</v>
      </c>
      <c r="D66" s="829">
        <v>0</v>
      </c>
      <c r="E66" s="829">
        <v>0</v>
      </c>
      <c r="F66" s="829">
        <v>0</v>
      </c>
      <c r="G66" s="829">
        <v>0</v>
      </c>
      <c r="H66" s="829">
        <v>0</v>
      </c>
    </row>
    <row r="67" spans="2:8">
      <c r="B67" s="5" t="s">
        <v>946</v>
      </c>
      <c r="C67" s="46" t="s">
        <v>230</v>
      </c>
      <c r="D67" s="825">
        <f t="shared" ref="D67:H67" si="8">D65-D66</f>
        <v>0</v>
      </c>
      <c r="E67" s="825">
        <f t="shared" si="8"/>
        <v>0</v>
      </c>
      <c r="F67" s="825">
        <f t="shared" si="8"/>
        <v>0</v>
      </c>
      <c r="G67" s="825">
        <f t="shared" si="8"/>
        <v>0</v>
      </c>
      <c r="H67" s="825">
        <f t="shared" si="8"/>
        <v>0</v>
      </c>
    </row>
  </sheetData>
  <sheetProtection algorithmName="SHA-512" hashValue="MYFqdcuEevBpoIcIgEA2bBMEP4jQZZVYsRyzM/usUcjtHUDUesn8IJZcXdsLBA/gfb82rDdnszQ0Oam+IwkqvQ==" saltValue="5EUZDX02Cyi80Omg7E2lUg==" spinCount="100000" sheet="1" objects="1" scenarios="1"/>
  <mergeCells count="1">
    <mergeCell ref="D25:D27"/>
  </mergeCells>
  <conditionalFormatting sqref="D6:G6 D52:G52">
    <cfRule type="expression" dxfId="8" priority="20">
      <formula>AND(D$4="Actuals",E$4="Forecast")</formula>
    </cfRule>
  </conditionalFormatting>
  <conditionalFormatting sqref="D12:H12 D14:H15">
    <cfRule type="expression" dxfId="7" priority="14">
      <formula>D$5="Forecast"</formula>
    </cfRule>
    <cfRule type="expression" dxfId="6" priority="15">
      <formula>D$5="Actuals"</formula>
    </cfRule>
  </conditionalFormatting>
  <conditionalFormatting sqref="D5:G6 D51:G52 I5:I12 I14:I54">
    <cfRule type="expression" dxfId="5" priority="13">
      <formula>AND(D$5="Actuals",E$5="Forecast")</formula>
    </cfRule>
  </conditionalFormatting>
  <conditionalFormatting sqref="D25">
    <cfRule type="expression" dxfId="4" priority="10">
      <formula>AND(E$4="Actuals",F$4="Forecast")</formula>
    </cfRule>
  </conditionalFormatting>
  <conditionalFormatting sqref="H6 H52">
    <cfRule type="expression" dxfId="3" priority="266">
      <formula>AND(H$4="Actuals",#REF!="Forecast")</formula>
    </cfRule>
  </conditionalFormatting>
  <conditionalFormatting sqref="H5:H6 H51:H52">
    <cfRule type="expression" dxfId="2" priority="274">
      <formula>AND(H$5="Actuals",#REF!="Forecast")</formula>
    </cfRule>
  </conditionalFormatting>
  <conditionalFormatting sqref="D7:H7">
    <cfRule type="expression" dxfId="1" priority="1">
      <formula>AND(D$5="Actuals",E$5="Forecast")</formula>
    </cfRule>
  </conditionalFormatting>
  <conditionalFormatting sqref="J17:J22">
    <cfRule type="expression" dxfId="0" priority="286">
      <formula>AND(I$5="Actuals",J$5="Forecast")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D9D9D9"/>
  </sheetPr>
  <dimension ref="A1:W328"/>
  <sheetViews>
    <sheetView showGridLines="0" zoomScale="85" zoomScaleNormal="85" workbookViewId="0">
      <pane ySplit="4" topLeftCell="A263" activePane="bottomLeft" state="frozen"/>
      <selection activeCell="B26" sqref="B26"/>
      <selection pane="bottomLeft"/>
    </sheetView>
  </sheetViews>
  <sheetFormatPr defaultRowHeight="13.5"/>
  <cols>
    <col min="1" max="1" width="8.3828125" customWidth="1"/>
    <col min="2" max="2" width="45.4609375" customWidth="1"/>
    <col min="3" max="3" width="17.765625" customWidth="1"/>
    <col min="4" max="4" width="13" customWidth="1"/>
    <col min="5" max="5" width="11.765625" customWidth="1"/>
    <col min="6" max="6" width="11.23046875" customWidth="1"/>
    <col min="7" max="7" width="13.765625" customWidth="1"/>
    <col min="8" max="8" width="16.84375" bestFit="1" customWidth="1"/>
    <col min="9" max="9" width="11.15234375" bestFit="1" customWidth="1"/>
    <col min="10" max="10" width="12.3828125" customWidth="1"/>
    <col min="11" max="11" width="11.23046875" customWidth="1"/>
    <col min="12" max="12" width="12" customWidth="1"/>
    <col min="13" max="13" width="11.84375" customWidth="1"/>
    <col min="14" max="14" width="12.765625" customWidth="1"/>
  </cols>
  <sheetData>
    <row r="1" spans="1:14" ht="20">
      <c r="A1" s="677" t="s">
        <v>16</v>
      </c>
      <c r="B1" s="374"/>
      <c r="C1" s="374"/>
      <c r="D1" s="374"/>
      <c r="E1" s="374"/>
      <c r="F1" s="374"/>
      <c r="G1" s="374"/>
      <c r="H1" s="374"/>
      <c r="I1" s="374"/>
      <c r="J1" s="374"/>
      <c r="K1" s="374"/>
      <c r="L1" s="374"/>
      <c r="M1" s="374"/>
      <c r="N1" s="678"/>
    </row>
    <row r="2" spans="1:14" ht="20">
      <c r="A2" s="295" t="str">
        <f>Licensee</f>
        <v>NGGT (TO)</v>
      </c>
      <c r="B2" s="293"/>
      <c r="C2" s="293"/>
      <c r="D2" s="293"/>
      <c r="E2" s="293"/>
      <c r="F2" s="293"/>
      <c r="G2" s="293"/>
      <c r="H2" s="293"/>
      <c r="I2" s="293"/>
      <c r="J2" s="293"/>
      <c r="K2" s="293"/>
      <c r="L2" s="293"/>
      <c r="M2" s="293"/>
      <c r="N2" s="296"/>
    </row>
    <row r="3" spans="1:14" ht="20">
      <c r="A3" s="534">
        <f>Reporting_Year</f>
        <v>2022</v>
      </c>
      <c r="B3" s="506"/>
      <c r="C3" s="506"/>
      <c r="D3" s="506"/>
      <c r="E3" s="506"/>
      <c r="F3" s="506"/>
      <c r="G3" s="506"/>
      <c r="H3" s="506"/>
      <c r="I3" s="506"/>
      <c r="J3" s="506"/>
      <c r="K3" s="506"/>
      <c r="L3" s="506"/>
      <c r="M3" s="506"/>
      <c r="N3" s="297"/>
    </row>
    <row r="6" spans="1:14" ht="27">
      <c r="B6" s="492" t="s">
        <v>17</v>
      </c>
      <c r="C6" s="509">
        <f>INDEX(O55:U83,MATCH(Licensee,Data!B55:B83,0),MATCH(Reporting_Year,Data!O54:U54,0))</f>
        <v>4.5181881000000007E-2</v>
      </c>
      <c r="F6" s="481" t="s">
        <v>18</v>
      </c>
      <c r="G6" s="52"/>
      <c r="H6" s="467" t="s">
        <v>19</v>
      </c>
      <c r="I6" s="508" t="s">
        <v>20</v>
      </c>
    </row>
    <row r="7" spans="1:14">
      <c r="B7" s="492" t="s">
        <v>21</v>
      </c>
      <c r="C7" s="509">
        <f>SUMIF(Data!$B$54:$B$83,'RFPR cover'!C7,Data!$C$54:$C$83)</f>
        <v>0.61</v>
      </c>
      <c r="F7" s="510">
        <v>0.1</v>
      </c>
      <c r="G7" s="235"/>
      <c r="H7" s="467" t="s">
        <v>22</v>
      </c>
      <c r="I7" s="468" t="s">
        <v>23</v>
      </c>
    </row>
    <row r="8" spans="1:14">
      <c r="B8" s="492" t="s">
        <v>24</v>
      </c>
      <c r="C8" s="507">
        <f>SUMIF(Data!$B$54:$B$83,'RFPR cover'!C7,Data!$D$54:$D$83)</f>
        <v>0.6</v>
      </c>
      <c r="H8" s="467" t="s">
        <v>25</v>
      </c>
      <c r="I8" s="468" t="s">
        <v>23</v>
      </c>
    </row>
    <row r="9" spans="1:14">
      <c r="B9" s="375" t="s">
        <v>26</v>
      </c>
      <c r="C9" s="496" t="str">
        <f>INDEX(Data!$F$55:$F$83,MATCH('RFPR cover'!$C$7,Data!$B$55:$B$83,0),0)</f>
        <v>£m 18/19</v>
      </c>
      <c r="H9" s="467" t="s">
        <v>27</v>
      </c>
      <c r="I9" s="468" t="s">
        <v>23</v>
      </c>
    </row>
    <row r="10" spans="1:14">
      <c r="H10" s="467" t="s">
        <v>28</v>
      </c>
      <c r="I10" s="468" t="s">
        <v>23</v>
      </c>
    </row>
    <row r="12" spans="1:14">
      <c r="B12" s="6" t="s">
        <v>29</v>
      </c>
    </row>
    <row r="13" spans="1:14">
      <c r="A13" s="16"/>
      <c r="B13" s="511" t="s">
        <v>30</v>
      </c>
      <c r="C13" s="512" t="str">
        <f t="shared" ref="C13:N13" si="0">IF(VALUE(C15)&lt;=Reporting_Year,"Actual","Forecast")</f>
        <v>Actual</v>
      </c>
      <c r="D13" s="512" t="str">
        <f t="shared" si="0"/>
        <v>Actual</v>
      </c>
      <c r="E13" s="512" t="str">
        <f t="shared" si="0"/>
        <v>Actual</v>
      </c>
      <c r="F13" s="512" t="str">
        <f t="shared" si="0"/>
        <v>Actual</v>
      </c>
      <c r="G13" s="512" t="str">
        <f t="shared" si="0"/>
        <v>Forecast</v>
      </c>
      <c r="H13" s="512" t="str">
        <f t="shared" si="0"/>
        <v>Forecast</v>
      </c>
      <c r="I13" s="512" t="str">
        <f t="shared" si="0"/>
        <v>Forecast</v>
      </c>
      <c r="J13" s="512" t="str">
        <f t="shared" si="0"/>
        <v>Forecast</v>
      </c>
      <c r="K13" s="512" t="str">
        <f t="shared" si="0"/>
        <v>Forecast</v>
      </c>
      <c r="L13" s="512" t="str">
        <f t="shared" si="0"/>
        <v>Forecast</v>
      </c>
      <c r="M13" s="512" t="str">
        <f t="shared" si="0"/>
        <v>Forecast</v>
      </c>
      <c r="N13" s="512" t="str">
        <f t="shared" si="0"/>
        <v>Forecast</v>
      </c>
    </row>
    <row r="14" spans="1:14">
      <c r="A14" s="16"/>
      <c r="B14" s="511" t="s">
        <v>31</v>
      </c>
      <c r="C14" s="513">
        <v>43555</v>
      </c>
      <c r="D14" s="514">
        <v>43921</v>
      </c>
      <c r="E14" s="514">
        <v>44286</v>
      </c>
      <c r="F14" s="514">
        <v>44651</v>
      </c>
      <c r="G14" s="514">
        <v>45016</v>
      </c>
      <c r="H14" s="513">
        <v>45382</v>
      </c>
      <c r="I14" s="513">
        <v>45747</v>
      </c>
      <c r="J14" s="513">
        <v>46112</v>
      </c>
      <c r="K14" s="513">
        <v>46477</v>
      </c>
      <c r="L14" s="513">
        <v>46843</v>
      </c>
      <c r="M14" s="513">
        <v>47208</v>
      </c>
      <c r="N14" s="513">
        <v>47573</v>
      </c>
    </row>
    <row r="15" spans="1:14">
      <c r="A15" s="16"/>
      <c r="B15" s="511" t="s">
        <v>32</v>
      </c>
      <c r="C15" s="515">
        <v>2019</v>
      </c>
      <c r="D15" s="516">
        <v>2020</v>
      </c>
      <c r="E15" s="515">
        <v>2021</v>
      </c>
      <c r="F15" s="516">
        <v>2022</v>
      </c>
      <c r="G15" s="515">
        <v>2023</v>
      </c>
      <c r="H15" s="516">
        <v>2024</v>
      </c>
      <c r="I15" s="515">
        <v>2025</v>
      </c>
      <c r="J15" s="516">
        <v>2026</v>
      </c>
      <c r="K15" s="515">
        <v>2027</v>
      </c>
      <c r="L15" s="516">
        <v>2028</v>
      </c>
      <c r="M15" s="515">
        <v>2029</v>
      </c>
      <c r="N15" s="516">
        <v>2030</v>
      </c>
    </row>
    <row r="16" spans="1:14">
      <c r="A16" s="16"/>
      <c r="B16" s="808" t="s">
        <v>33</v>
      </c>
      <c r="C16" s="806">
        <v>283.30833333333334</v>
      </c>
      <c r="D16" s="806">
        <v>290.64166666666665</v>
      </c>
      <c r="E16" s="806">
        <v>294.16666666666669</v>
      </c>
      <c r="F16" s="806">
        <v>307.32821397646848</v>
      </c>
      <c r="G16" s="806">
        <v>330.96395938982295</v>
      </c>
      <c r="H16" s="806">
        <v>341.96868856063776</v>
      </c>
      <c r="I16" s="806">
        <v>347.76302971972729</v>
      </c>
      <c r="J16" s="806">
        <v>354.40696896406115</v>
      </c>
      <c r="K16" s="811">
        <f t="shared" ref="K16:N17" si="1">J16*(1+K$20)</f>
        <v>361.49510834334239</v>
      </c>
      <c r="L16" s="811">
        <f t="shared" si="1"/>
        <v>368.72501051020924</v>
      </c>
      <c r="M16" s="811">
        <f t="shared" si="1"/>
        <v>376.09951072041343</v>
      </c>
      <c r="N16" s="811">
        <f t="shared" si="1"/>
        <v>383.62150093482171</v>
      </c>
    </row>
    <row r="17" spans="1:23">
      <c r="A17" s="16"/>
      <c r="B17" s="809" t="s">
        <v>34</v>
      </c>
      <c r="C17" s="806">
        <v>286.64999999999998</v>
      </c>
      <c r="D17" s="806">
        <v>292.60000000000002</v>
      </c>
      <c r="E17" s="806">
        <v>298.42363263445759</v>
      </c>
      <c r="F17" s="806">
        <v>319.91658048382931</v>
      </c>
      <c r="G17" s="806">
        <v>337.82117245956056</v>
      </c>
      <c r="H17" s="806">
        <v>344.75394696522062</v>
      </c>
      <c r="I17" s="806">
        <v>350.98716524424435</v>
      </c>
      <c r="J17" s="806">
        <v>357.62377789692238</v>
      </c>
      <c r="K17" s="812">
        <f t="shared" si="1"/>
        <v>364.77625345486081</v>
      </c>
      <c r="L17" s="812">
        <f t="shared" si="1"/>
        <v>372.07177852395802</v>
      </c>
      <c r="M17" s="812">
        <f t="shared" si="1"/>
        <v>379.51321409443716</v>
      </c>
      <c r="N17" s="812">
        <f t="shared" si="1"/>
        <v>387.10347837632588</v>
      </c>
    </row>
    <row r="18" spans="1:23">
      <c r="A18" s="16"/>
      <c r="B18" s="809" t="s">
        <v>35</v>
      </c>
      <c r="C18" s="411">
        <v>0.19</v>
      </c>
      <c r="D18" s="807">
        <v>0.19</v>
      </c>
      <c r="E18" s="807">
        <v>0.19</v>
      </c>
      <c r="F18" s="807">
        <v>0.19</v>
      </c>
      <c r="G18" s="411">
        <v>0.19</v>
      </c>
      <c r="H18" s="411">
        <v>0.25</v>
      </c>
      <c r="I18" s="411">
        <v>0.25</v>
      </c>
      <c r="J18" s="411">
        <v>0.25</v>
      </c>
      <c r="K18" s="410">
        <v>0.25</v>
      </c>
      <c r="L18" s="410">
        <v>0.25</v>
      </c>
      <c r="M18" s="410">
        <v>0.25</v>
      </c>
      <c r="N18" s="410">
        <v>0.25</v>
      </c>
    </row>
    <row r="19" spans="1:23">
      <c r="A19" s="16"/>
      <c r="B19" s="810" t="s">
        <v>36</v>
      </c>
      <c r="C19" s="806">
        <v>106.43333333333334</v>
      </c>
      <c r="D19" s="806">
        <v>108.24166666666663</v>
      </c>
      <c r="E19" s="806">
        <v>109.10833333333335</v>
      </c>
      <c r="F19" s="806">
        <v>113.11666666666667</v>
      </c>
      <c r="G19" s="806">
        <v>121.81615019519597</v>
      </c>
      <c r="H19" s="806">
        <v>125.86660252843778</v>
      </c>
      <c r="I19" s="806">
        <v>127.99929496485652</v>
      </c>
      <c r="J19" s="806">
        <v>130.44469446505488</v>
      </c>
      <c r="K19" s="812">
        <f>J19*(1+K$20)</f>
        <v>133.05358835435598</v>
      </c>
      <c r="L19" s="812">
        <f>K19*(1+L$20)</f>
        <v>135.7146601214431</v>
      </c>
      <c r="M19" s="812">
        <f>L19*(1+M$20)</f>
        <v>138.42895332387198</v>
      </c>
      <c r="N19" s="812">
        <f>M19*(1+N$20)</f>
        <v>141.19753239034941</v>
      </c>
      <c r="U19" s="324"/>
      <c r="V19" s="324"/>
    </row>
    <row r="20" spans="1:23" ht="16">
      <c r="A20" s="16"/>
      <c r="B20" s="809" t="s">
        <v>37</v>
      </c>
      <c r="C20" s="511"/>
      <c r="D20" s="511"/>
      <c r="E20" s="511"/>
      <c r="F20" s="511"/>
      <c r="G20" s="511"/>
      <c r="H20" s="813"/>
      <c r="I20" s="511"/>
      <c r="J20" s="511"/>
      <c r="K20" s="411">
        <v>0.02</v>
      </c>
      <c r="L20" s="411">
        <v>0.02</v>
      </c>
      <c r="M20" s="411">
        <v>0.02</v>
      </c>
      <c r="N20" s="411">
        <v>0.02</v>
      </c>
      <c r="O20" s="354" t="s">
        <v>38</v>
      </c>
      <c r="U20" s="324"/>
      <c r="V20" s="324"/>
    </row>
    <row r="21" spans="1:23" ht="16">
      <c r="A21" s="16"/>
      <c r="B21" s="327"/>
      <c r="C21" s="325"/>
      <c r="D21" s="325"/>
      <c r="E21" s="325"/>
      <c r="F21" s="325"/>
      <c r="G21" s="325"/>
      <c r="U21" s="324"/>
      <c r="V21" s="324"/>
    </row>
    <row r="22" spans="1:23" ht="16">
      <c r="A22" s="16"/>
      <c r="B22" s="332"/>
      <c r="C22" s="333"/>
      <c r="D22" s="579"/>
      <c r="E22" s="333"/>
      <c r="F22" s="333"/>
      <c r="G22" s="333"/>
      <c r="U22" s="324"/>
      <c r="V22" s="324"/>
    </row>
    <row r="23" spans="1:23">
      <c r="B23" s="319"/>
      <c r="C23" s="479"/>
      <c r="D23" s="320"/>
      <c r="E23" s="321"/>
      <c r="F23" s="321"/>
      <c r="G23" s="322"/>
    </row>
    <row r="24" spans="1:23">
      <c r="D24" s="512" t="str">
        <f>IF(D25&lt;='RFPR cover'!$C$9,"Actuals","Forecast")</f>
        <v>Actuals</v>
      </c>
      <c r="E24" s="512" t="str">
        <f>IF(E25&lt;='RFPR cover'!$C$9,"Actuals","Forecast")</f>
        <v>Actuals</v>
      </c>
      <c r="F24" s="512" t="str">
        <f>IF(F25&lt;='RFPR cover'!$C$9,"Actuals","Forecast")</f>
        <v>Forecast</v>
      </c>
      <c r="G24" s="512" t="str">
        <f>IF(G25&lt;='RFPR cover'!$C$9,"Actuals","Forecast")</f>
        <v>Forecast</v>
      </c>
      <c r="H24" s="512" t="str">
        <f>IF(H25&lt;='RFPR cover'!$C$9,"Actuals","Forecast")</f>
        <v>Forecast</v>
      </c>
      <c r="I24" s="512" t="str">
        <f>IF(I25&lt;='RFPR cover'!$C$9,"Actuals","Forecast")</f>
        <v>Forecast</v>
      </c>
      <c r="J24" s="512" t="str">
        <f>IF(J25&lt;='RFPR cover'!$C$9,"Actuals","Forecast")</f>
        <v>Forecast</v>
      </c>
      <c r="K24" s="512" t="str">
        <f>IF(K25&lt;='RFPR cover'!$C$9,"Actuals","Forecast")</f>
        <v>Forecast</v>
      </c>
    </row>
    <row r="25" spans="1:23" ht="14.25" customHeight="1">
      <c r="D25" s="401">
        <v>2021</v>
      </c>
      <c r="E25" s="401">
        <f t="shared" ref="E25:K25" si="2">D25+1</f>
        <v>2022</v>
      </c>
      <c r="F25" s="401">
        <f t="shared" si="2"/>
        <v>2023</v>
      </c>
      <c r="G25" s="401">
        <f t="shared" si="2"/>
        <v>2024</v>
      </c>
      <c r="H25" s="401">
        <f t="shared" si="2"/>
        <v>2025</v>
      </c>
      <c r="I25" s="401">
        <f t="shared" si="2"/>
        <v>2026</v>
      </c>
      <c r="J25" s="401">
        <f t="shared" si="2"/>
        <v>2027</v>
      </c>
      <c r="K25" s="401">
        <f t="shared" si="2"/>
        <v>2028</v>
      </c>
      <c r="M25" s="24"/>
    </row>
    <row r="26" spans="1:23" ht="48.65" customHeight="1">
      <c r="C26" s="517" t="s">
        <v>39</v>
      </c>
      <c r="D26" s="409">
        <f t="shared" ref="D26:K26" si="3">IF(SectorCov="ED2",G16/INDEX($C$16:$N$16,MATCH($E$15,$C$15:$N$15,0)),E16/INDEX($C$16:$N$16,MATCH($C$15,$C$15:$N$15,0)))</f>
        <v>1.0383269111980469</v>
      </c>
      <c r="E26" s="409">
        <f t="shared" si="3"/>
        <v>1.0847835302284383</v>
      </c>
      <c r="F26" s="409">
        <f t="shared" si="3"/>
        <v>1.1682111694202062</v>
      </c>
      <c r="G26" s="409">
        <f t="shared" si="3"/>
        <v>1.2070548174037865</v>
      </c>
      <c r="H26" s="409">
        <f t="shared" si="3"/>
        <v>1.2275072378847331</v>
      </c>
      <c r="I26" s="409">
        <f t="shared" si="3"/>
        <v>1.2509585044470788</v>
      </c>
      <c r="J26" s="409">
        <f t="shared" si="3"/>
        <v>1.2759776745360205</v>
      </c>
      <c r="K26" s="409">
        <f t="shared" si="3"/>
        <v>1.3014972280267409</v>
      </c>
      <c r="M26" s="337"/>
      <c r="N26" s="337"/>
      <c r="O26" s="337"/>
      <c r="P26" s="337"/>
      <c r="Q26" s="337"/>
      <c r="R26" s="337"/>
    </row>
    <row r="27" spans="1:23" ht="58.5" customHeight="1">
      <c r="C27" s="363" t="s">
        <v>40</v>
      </c>
      <c r="D27" s="409">
        <f>INDEX(Data!$C$16:$N$16,MATCH(D$25,Data!$C$15:$N$15,0))/INDEX(Data!$C$16:$N$16,MATCH(D$25-1,Data!$C$15:$N$15,0))</f>
        <v>1.0121283367262093</v>
      </c>
      <c r="E27" s="409">
        <f>INDEX(Data!$C$16:$N$16,MATCH(E$25,Data!$C$15:$N$15,0))/INDEX(Data!$C$16:$N$16,MATCH(E$25-1,Data!$C$15:$N$15,0))</f>
        <v>1.0447418038860117</v>
      </c>
      <c r="F27" s="409">
        <f>INDEX(Data!$C$16:$N$16,MATCH(F$25,Data!$C$15:$N$15,0))/INDEX(Data!$C$16:$N$16,MATCH(F$25-1,Data!$C$15:$N$15,0))</f>
        <v>1.0769071772081564</v>
      </c>
      <c r="G27" s="409">
        <f>INDEX(Data!$C$16:$N$16,MATCH(G$25,Data!$C$15:$N$15,0))/INDEX(Data!$C$16:$N$16,MATCH(G$25-1,Data!$C$15:$N$15,0))</f>
        <v>1.033250536375935</v>
      </c>
      <c r="H27" s="409">
        <f>INDEX(Data!$C$16:$N$16,MATCH(H$25,Data!$C$15:$N$15,0))/INDEX(Data!$C$16:$N$16,MATCH(H$25-1,Data!$C$15:$N$15,0))</f>
        <v>1.0169440693049361</v>
      </c>
      <c r="I27" s="409">
        <f>INDEX(Data!$C$16:$N$16,MATCH(I$25,Data!$C$15:$N$15,0))/INDEX(Data!$C$16:$N$16,MATCH(I$25-1,Data!$C$15:$N$15,0))</f>
        <v>1.0191047888261395</v>
      </c>
      <c r="J27" s="409">
        <f>INDEX(Data!$C$16:$N$16,MATCH(J$25,Data!$C$15:$N$15,0))/INDEX(Data!$C$16:$N$16,MATCH(J$25-1,Data!$C$15:$N$15,0))</f>
        <v>1.02</v>
      </c>
      <c r="K27" s="409">
        <f>INDEX(Data!$C$16:$N$16,MATCH(K$25,Data!$C$15:$N$15,0))/INDEX(Data!$C$16:$N$16,MATCH(K$25-1,Data!$C$15:$N$15,0))</f>
        <v>1.02</v>
      </c>
      <c r="M27" s="337"/>
    </row>
    <row r="28" spans="1:23" ht="71.150000000000006" customHeight="1">
      <c r="C28" s="363" t="s">
        <v>41</v>
      </c>
      <c r="D28" s="409">
        <f>IF(SectorCov="ED2",INDEX(Data!$C$17:$N$17,MATCH(D$25,Data!$C$15:$N$15,0))/Data!$E$16,INDEX(Data!$C$17:$N$17,MATCH(D$25,Data!$C$15:$N$15,0))/Data!$C$16)</f>
        <v>1.0533528227824487</v>
      </c>
      <c r="E28" s="409">
        <f>IF(SectorCov="ED2",INDEX(Data!$C$17:$N$17,MATCH(E$25,Data!$C$15:$N$15,0))/Data!$E$16,INDEX(Data!$C$17:$N$17,MATCH(E$25,Data!$C$15:$N$15,0))/Data!$C$16)</f>
        <v>1.1292169796764278</v>
      </c>
      <c r="F28" s="409">
        <f>IF(SectorCov="ED2",INDEX(Data!$C$17:$N$17,MATCH(F$25,Data!$C$15:$N$15,0))/Data!$E$16,INDEX(Data!$C$17:$N$17,MATCH(F$25,Data!$C$15:$N$15,0))/Data!$C$16)</f>
        <v>1.192415233554351</v>
      </c>
      <c r="G28" s="409">
        <f>IF(SectorCov="ED2",INDEX(Data!$C$17:$N$17,MATCH(G$25,Data!$C$15:$N$15,0))/Data!$E$16,INDEX(Data!$C$17:$N$17,MATCH(G$25,Data!$C$15:$N$15,0))/Data!$C$16)</f>
        <v>1.2168860086427178</v>
      </c>
      <c r="H28" s="409">
        <f>IF(SectorCov="ED2",INDEX(Data!$C$17:$N$17,MATCH(H$25,Data!$C$15:$N$15,0))/Data!$E$16,INDEX(Data!$C$17:$N$17,MATCH(H$25,Data!$C$15:$N$15,0))/Data!$C$16)</f>
        <v>1.2388875438806166</v>
      </c>
      <c r="I28" s="409">
        <f>IF(SectorCov="ED2",INDEX(Data!$C$17:$N$17,MATCH(I$25,Data!$C$15:$N$15,0))/Data!$E$16,INDEX(Data!$C$17:$N$17,MATCH(I$25,Data!$C$15:$N$15,0))/Data!$C$16)</f>
        <v>1.262312949602338</v>
      </c>
      <c r="J28" s="409">
        <f>IF(SectorCov="ED2",INDEX(Data!$C$17:$N$17,MATCH(J$25,Data!$C$15:$N$15,0))/Data!$E$16,INDEX(Data!$C$17:$N$17,MATCH(J$25,Data!$C$15:$N$15,0))/Data!$C$16)</f>
        <v>1.2875592085943848</v>
      </c>
      <c r="K28" s="409">
        <f>IF(SectorCov="ED2",INDEX(Data!$C$17:$N$17,MATCH(K$25,Data!$C$15:$N$15,0))/Data!$E$16,INDEX(Data!$C$17:$N$17,MATCH(K$25,Data!$C$15:$N$15,0))/Data!$C$16)</f>
        <v>1.3133103927662724</v>
      </c>
      <c r="M28" s="337"/>
    </row>
    <row r="29" spans="1:23">
      <c r="A29" s="328"/>
      <c r="B29" s="328"/>
      <c r="C29" s="328"/>
      <c r="M29" s="337"/>
      <c r="N29" s="328"/>
      <c r="O29" s="328"/>
      <c r="P29" s="328"/>
      <c r="Q29" s="328"/>
      <c r="R29" s="328"/>
      <c r="S29" s="328"/>
      <c r="T29" s="328"/>
      <c r="U29" s="328"/>
      <c r="V29" s="328"/>
      <c r="W29" s="328"/>
    </row>
    <row r="30" spans="1:23">
      <c r="B30" s="274"/>
      <c r="C30" s="323"/>
      <c r="D30" s="323"/>
      <c r="E30" s="323"/>
      <c r="F30" s="323"/>
      <c r="G30" s="323"/>
      <c r="H30" s="323"/>
      <c r="I30" s="323"/>
      <c r="J30" s="323"/>
      <c r="K30" s="323"/>
      <c r="M30" s="337"/>
    </row>
    <row r="31" spans="1:23">
      <c r="E31" s="353"/>
      <c r="F31" s="353"/>
      <c r="G31" s="353"/>
      <c r="H31" s="353"/>
      <c r="I31" s="353"/>
      <c r="J31" s="353"/>
      <c r="K31" s="353"/>
      <c r="L31" s="353"/>
      <c r="M31" s="337"/>
    </row>
    <row r="32" spans="1:23">
      <c r="B32" s="274"/>
      <c r="C32" s="323"/>
      <c r="D32" s="323"/>
      <c r="E32" s="323"/>
      <c r="F32" s="323"/>
      <c r="G32" s="323"/>
      <c r="H32" s="323"/>
      <c r="I32" s="323"/>
      <c r="J32" s="323"/>
    </row>
    <row r="33" spans="1:20">
      <c r="B33" s="208"/>
      <c r="C33" s="208"/>
      <c r="D33" s="62"/>
      <c r="E33" s="208"/>
      <c r="F33" s="209"/>
      <c r="G33" s="210"/>
      <c r="H33" s="210"/>
      <c r="I33" s="210"/>
      <c r="J33" s="211"/>
      <c r="K33" s="211"/>
      <c r="L33" s="62"/>
      <c r="M33" s="62"/>
      <c r="N33" s="62"/>
      <c r="O33" s="62"/>
      <c r="P33" s="62"/>
      <c r="Q33" s="62"/>
      <c r="R33" s="62"/>
      <c r="S33" s="62"/>
      <c r="T33" s="62"/>
    </row>
    <row r="34" spans="1:20">
      <c r="B34" s="207" t="s">
        <v>42</v>
      </c>
      <c r="C34" s="52"/>
      <c r="I34" s="32"/>
    </row>
    <row r="35" spans="1:20">
      <c r="C35" s="376">
        <f>RIIO_2_start_date</f>
        <v>2022</v>
      </c>
      <c r="D35" s="377">
        <f t="shared" ref="D35" si="4">C35+1</f>
        <v>2023</v>
      </c>
      <c r="E35" s="377">
        <f t="shared" ref="E35" si="5">D35+1</f>
        <v>2024</v>
      </c>
      <c r="F35" s="377">
        <f t="shared" ref="F35" si="6">E35+1</f>
        <v>2025</v>
      </c>
      <c r="G35" s="377">
        <f t="shared" ref="G35" si="7">F35+1</f>
        <v>2026</v>
      </c>
      <c r="H35" s="377">
        <f t="shared" ref="H35" si="8">G35+1</f>
        <v>2027</v>
      </c>
      <c r="I35" s="377">
        <f t="shared" ref="I35" si="9">H35+1</f>
        <v>2028</v>
      </c>
      <c r="J35" s="377">
        <f t="shared" ref="J35" si="10">I35+1</f>
        <v>2029</v>
      </c>
    </row>
    <row r="36" spans="1:20">
      <c r="B36" s="373" t="s">
        <v>43</v>
      </c>
      <c r="C36" s="364"/>
      <c r="D36" s="365"/>
      <c r="E36" s="342"/>
      <c r="F36" s="342"/>
      <c r="G36" s="342"/>
      <c r="H36" s="342"/>
      <c r="I36" s="343"/>
    </row>
    <row r="37" spans="1:20">
      <c r="A37" s="330"/>
      <c r="B37" s="367" t="s">
        <v>44</v>
      </c>
      <c r="C37" s="366"/>
      <c r="D37" s="236"/>
      <c r="E37" s="344"/>
      <c r="F37" s="344"/>
      <c r="G37" s="344"/>
      <c r="H37" s="344"/>
      <c r="I37" s="206"/>
    </row>
    <row r="38" spans="1:20">
      <c r="A38" s="330"/>
      <c r="B38" s="367" t="s">
        <v>45</v>
      </c>
      <c r="C38" s="367">
        <v>1.8143044979056552E-2</v>
      </c>
      <c r="D38" s="344">
        <v>1.5909426602326575E-2</v>
      </c>
      <c r="E38" s="344">
        <v>1.5486013713550701E-2</v>
      </c>
      <c r="F38" s="344">
        <v>1.4921786215027617E-2</v>
      </c>
      <c r="G38" s="344">
        <v>1.4560675534238218E-2</v>
      </c>
      <c r="H38" s="236"/>
      <c r="I38" s="368"/>
    </row>
    <row r="39" spans="1:20">
      <c r="A39" s="331"/>
      <c r="B39" s="367" t="s">
        <v>46</v>
      </c>
      <c r="C39" s="367">
        <v>2.0500000000000001E-2</v>
      </c>
      <c r="D39" s="344">
        <v>1.9E-2</v>
      </c>
      <c r="E39" s="344">
        <v>1.83E-2</v>
      </c>
      <c r="F39" s="344">
        <v>1.78E-2</v>
      </c>
      <c r="G39" s="344">
        <v>1.7500000000000002E-2</v>
      </c>
      <c r="H39" s="236"/>
      <c r="I39" s="368"/>
      <c r="N39" s="307"/>
      <c r="O39" s="307"/>
      <c r="P39" s="307"/>
      <c r="Q39" s="307"/>
      <c r="R39" s="307"/>
    </row>
    <row r="40" spans="1:20">
      <c r="A40" s="330"/>
      <c r="B40" s="367" t="s">
        <v>25</v>
      </c>
      <c r="C40" s="367">
        <v>2.0500000000000001E-2</v>
      </c>
      <c r="D40" s="344">
        <v>1.9E-2</v>
      </c>
      <c r="E40" s="344">
        <v>1.83E-2</v>
      </c>
      <c r="F40" s="344">
        <v>1.78E-2</v>
      </c>
      <c r="G40" s="344">
        <v>1.7500000000000002E-2</v>
      </c>
      <c r="H40" s="236"/>
      <c r="I40" s="368"/>
    </row>
    <row r="41" spans="1:20">
      <c r="A41" s="330"/>
      <c r="B41" s="367" t="s">
        <v>47</v>
      </c>
      <c r="C41" s="367">
        <v>2.1100000000000001E-2</v>
      </c>
      <c r="D41" s="344">
        <v>1.9599999999999999E-2</v>
      </c>
      <c r="E41" s="344">
        <v>1.89E-2</v>
      </c>
      <c r="F41" s="344">
        <v>1.84E-2</v>
      </c>
      <c r="G41" s="344">
        <v>1.8100000000000002E-2</v>
      </c>
      <c r="H41" s="236"/>
      <c r="I41" s="368"/>
    </row>
    <row r="42" spans="1:20">
      <c r="A42" s="330"/>
      <c r="B42" s="367" t="s">
        <v>27</v>
      </c>
      <c r="C42" s="367">
        <v>2.0500000000000001E-2</v>
      </c>
      <c r="D42" s="344">
        <v>1.9E-2</v>
      </c>
      <c r="E42" s="344">
        <v>1.83E-2</v>
      </c>
      <c r="F42" s="344">
        <v>1.78E-2</v>
      </c>
      <c r="G42" s="344">
        <v>1.7500000000000002E-2</v>
      </c>
      <c r="H42" s="236"/>
      <c r="I42" s="368"/>
    </row>
    <row r="43" spans="1:20">
      <c r="A43" s="330"/>
      <c r="B43" s="369" t="s">
        <v>28</v>
      </c>
      <c r="C43" s="369">
        <v>-1E-4</v>
      </c>
      <c r="D43" s="370">
        <v>9.2999999999999992E-3</v>
      </c>
      <c r="E43" s="370">
        <v>1.06E-2</v>
      </c>
      <c r="F43" s="370">
        <v>9.1999999999999998E-3</v>
      </c>
      <c r="G43" s="370">
        <v>7.7999999999999996E-3</v>
      </c>
      <c r="H43" s="371"/>
      <c r="I43" s="372"/>
    </row>
    <row r="44" spans="1:20">
      <c r="H44" s="32"/>
    </row>
    <row r="45" spans="1:20">
      <c r="B45" s="207" t="s">
        <v>48</v>
      </c>
      <c r="C45" s="52"/>
      <c r="I45" s="32"/>
    </row>
    <row r="46" spans="1:20">
      <c r="A46" s="27" t="s">
        <v>6</v>
      </c>
      <c r="C46" s="376">
        <f>RIIO_2_start_date</f>
        <v>2022</v>
      </c>
      <c r="D46" s="377">
        <f t="shared" ref="D46:J46" si="11">C46+1</f>
        <v>2023</v>
      </c>
      <c r="E46" s="377">
        <f t="shared" si="11"/>
        <v>2024</v>
      </c>
      <c r="F46" s="377">
        <f t="shared" si="11"/>
        <v>2025</v>
      </c>
      <c r="G46" s="377">
        <f t="shared" si="11"/>
        <v>2026</v>
      </c>
      <c r="H46" s="377">
        <f t="shared" si="11"/>
        <v>2027</v>
      </c>
      <c r="I46" s="377">
        <f t="shared" si="11"/>
        <v>2028</v>
      </c>
      <c r="J46" s="377">
        <f t="shared" si="11"/>
        <v>2029</v>
      </c>
    </row>
    <row r="47" spans="1:20">
      <c r="A47" s="27" t="s">
        <v>49</v>
      </c>
      <c r="B47" s="367" t="s">
        <v>19</v>
      </c>
      <c r="C47" s="366"/>
      <c r="D47" s="236"/>
      <c r="E47" s="344"/>
      <c r="F47" s="344"/>
      <c r="G47" s="344"/>
      <c r="H47" s="344"/>
      <c r="I47" s="206"/>
    </row>
    <row r="48" spans="1:20">
      <c r="A48" s="27" t="s">
        <v>50</v>
      </c>
      <c r="B48" s="367" t="s">
        <v>22</v>
      </c>
      <c r="C48" s="367">
        <v>4.2439449777777784E-2</v>
      </c>
      <c r="D48" s="344">
        <v>4.2616093333333334E-2</v>
      </c>
      <c r="E48" s="344">
        <v>4.2388117333333329E-2</v>
      </c>
      <c r="F48" s="344">
        <v>4.2547130666666676E-2</v>
      </c>
      <c r="G48" s="344">
        <v>4.2685452444444452E-2</v>
      </c>
      <c r="H48" s="236"/>
      <c r="I48" s="368"/>
      <c r="N48" s="307"/>
      <c r="O48" s="307"/>
      <c r="P48" s="307"/>
      <c r="Q48" s="307"/>
      <c r="R48" s="307"/>
    </row>
    <row r="49" spans="1:23">
      <c r="A49" s="27" t="s">
        <v>51</v>
      </c>
      <c r="B49" s="367" t="s">
        <v>25</v>
      </c>
      <c r="C49" s="367">
        <v>4.5181881000000007E-2</v>
      </c>
      <c r="D49" s="344">
        <v>4.5568105000000005E-2</v>
      </c>
      <c r="E49" s="344">
        <v>4.5399131999999995E-2</v>
      </c>
      <c r="F49" s="344">
        <v>4.564052200000001E-2</v>
      </c>
      <c r="G49" s="344">
        <v>4.5833633999999998E-2</v>
      </c>
      <c r="H49" s="236"/>
      <c r="I49" s="368"/>
    </row>
    <row r="50" spans="1:23">
      <c r="A50" s="27" t="s">
        <v>52</v>
      </c>
      <c r="B50" s="367" t="s">
        <v>27</v>
      </c>
      <c r="C50" s="551">
        <v>4.5181881000000007E-2</v>
      </c>
      <c r="D50" s="552">
        <v>4.5568105000000005E-2</v>
      </c>
      <c r="E50" s="552">
        <v>4.5399131999999995E-2</v>
      </c>
      <c r="F50" s="552">
        <v>4.564052200000001E-2</v>
      </c>
      <c r="G50" s="552">
        <v>4.5833633999999998E-2</v>
      </c>
      <c r="H50" s="236"/>
      <c r="I50" s="368"/>
    </row>
    <row r="51" spans="1:23">
      <c r="A51" s="27" t="s">
        <v>53</v>
      </c>
      <c r="B51" s="369" t="s">
        <v>28</v>
      </c>
      <c r="C51" s="553">
        <v>7.5718976000000007E-2</v>
      </c>
      <c r="D51" s="553">
        <v>7.5510080000000007E-2</v>
      </c>
      <c r="E51" s="553">
        <v>7.5601472000000003E-2</v>
      </c>
      <c r="F51" s="553">
        <v>7.5470912000000001E-2</v>
      </c>
      <c r="G51" s="553">
        <v>7.5366464000000008E-2</v>
      </c>
      <c r="H51" s="431"/>
      <c r="I51" s="372"/>
    </row>
    <row r="52" spans="1:23" ht="14" thickBot="1">
      <c r="A52" s="330"/>
      <c r="B52" s="429"/>
      <c r="C52" s="429"/>
      <c r="D52" s="429"/>
      <c r="E52" s="429"/>
      <c r="F52" s="429"/>
      <c r="G52" s="429"/>
      <c r="H52" s="430"/>
      <c r="I52" s="430"/>
    </row>
    <row r="53" spans="1:23" s="328" customFormat="1" ht="41" thickBot="1">
      <c r="A53"/>
      <c r="B53" s="11"/>
      <c r="C53" s="465" t="s">
        <v>54</v>
      </c>
      <c r="D53" s="465" t="s">
        <v>55</v>
      </c>
      <c r="E53" s="465" t="s">
        <v>56</v>
      </c>
      <c r="F53" s="465" t="s">
        <v>57</v>
      </c>
      <c r="G53" s="466" t="s">
        <v>58</v>
      </c>
      <c r="H53" s="1009" t="s">
        <v>59</v>
      </c>
      <c r="I53" s="1010"/>
      <c r="J53" s="1010"/>
      <c r="K53" s="1010"/>
      <c r="L53" s="1010"/>
      <c r="M53" s="1010"/>
      <c r="N53" s="1011"/>
      <c r="O53" s="1009" t="s">
        <v>60</v>
      </c>
      <c r="P53" s="1010"/>
      <c r="Q53" s="1010"/>
      <c r="R53" s="1010"/>
      <c r="S53" s="1010"/>
      <c r="T53" s="1010"/>
      <c r="U53" s="1011"/>
      <c r="V53"/>
      <c r="W53"/>
    </row>
    <row r="54" spans="1:23" ht="14" thickBot="1">
      <c r="A54" s="79" t="s">
        <v>6</v>
      </c>
      <c r="B54" s="460" t="s">
        <v>61</v>
      </c>
      <c r="C54" s="461"/>
      <c r="D54" s="461"/>
      <c r="E54" s="462"/>
      <c r="F54" s="463"/>
      <c r="G54" s="464"/>
      <c r="H54" s="441">
        <v>2022</v>
      </c>
      <c r="I54" s="442">
        <f t="shared" ref="I54:N54" si="12">H54+1</f>
        <v>2023</v>
      </c>
      <c r="J54" s="442">
        <f t="shared" si="12"/>
        <v>2024</v>
      </c>
      <c r="K54" s="443">
        <f t="shared" si="12"/>
        <v>2025</v>
      </c>
      <c r="L54" s="443">
        <f t="shared" si="12"/>
        <v>2026</v>
      </c>
      <c r="M54" s="443">
        <f t="shared" si="12"/>
        <v>2027</v>
      </c>
      <c r="N54" s="444">
        <f t="shared" si="12"/>
        <v>2028</v>
      </c>
      <c r="O54" s="441">
        <v>2022</v>
      </c>
      <c r="P54" s="442">
        <f t="shared" ref="P54:U54" si="13">O54+1</f>
        <v>2023</v>
      </c>
      <c r="Q54" s="442">
        <f t="shared" si="13"/>
        <v>2024</v>
      </c>
      <c r="R54" s="443">
        <f t="shared" si="13"/>
        <v>2025</v>
      </c>
      <c r="S54" s="443">
        <f t="shared" si="13"/>
        <v>2026</v>
      </c>
      <c r="T54" s="443">
        <f t="shared" si="13"/>
        <v>2027</v>
      </c>
      <c r="U54" s="444">
        <f t="shared" si="13"/>
        <v>2028</v>
      </c>
    </row>
    <row r="55" spans="1:23">
      <c r="A55" s="27" t="s">
        <v>19</v>
      </c>
      <c r="B55" s="450" t="s">
        <v>62</v>
      </c>
      <c r="C55" s="447"/>
      <c r="D55" s="447"/>
      <c r="E55" s="451">
        <v>2024</v>
      </c>
      <c r="F55" s="452" t="str">
        <f t="shared" ref="F55:F83" si="14">VLOOKUP($A55,$H$6:$I$10,2,FALSE)</f>
        <v>£m 20/21</v>
      </c>
      <c r="G55" s="453" t="s">
        <v>44</v>
      </c>
      <c r="H55" s="445"/>
      <c r="I55" s="446"/>
      <c r="J55" s="447">
        <f t="shared" ref="J55:N68" si="15">INDEX($C$36:$I$43,MATCH($G55,$B$36:$B$43,0),MATCH(J$54,$C$35:$I$35))</f>
        <v>0</v>
      </c>
      <c r="K55" s="447">
        <f t="shared" si="15"/>
        <v>0</v>
      </c>
      <c r="L55" s="447">
        <f t="shared" si="15"/>
        <v>0</v>
      </c>
      <c r="M55" s="448">
        <f t="shared" si="15"/>
        <v>0</v>
      </c>
      <c r="N55" s="449">
        <f t="shared" si="15"/>
        <v>0</v>
      </c>
      <c r="O55" s="432"/>
      <c r="P55" s="365"/>
      <c r="Q55" s="342">
        <f t="shared" ref="Q55:U68" si="16">INDEX($C$47:$I$51,MATCH($A55,$B$47:$B$51,0),MATCH(Q$54,$C$46:$I$46))</f>
        <v>0</v>
      </c>
      <c r="R55" s="342">
        <f t="shared" si="16"/>
        <v>0</v>
      </c>
      <c r="S55" s="342">
        <f t="shared" si="16"/>
        <v>0</v>
      </c>
      <c r="T55" s="396">
        <f t="shared" si="16"/>
        <v>0</v>
      </c>
      <c r="U55" s="433">
        <f t="shared" si="16"/>
        <v>0</v>
      </c>
    </row>
    <row r="56" spans="1:23">
      <c r="A56" s="27" t="s">
        <v>19</v>
      </c>
      <c r="B56" s="454" t="s">
        <v>63</v>
      </c>
      <c r="C56" s="344"/>
      <c r="D56" s="344"/>
      <c r="E56" s="85">
        <v>2024</v>
      </c>
      <c r="F56" s="86" t="str">
        <f t="shared" si="14"/>
        <v>£m 20/21</v>
      </c>
      <c r="G56" s="455" t="s">
        <v>44</v>
      </c>
      <c r="H56" s="434"/>
      <c r="I56" s="236"/>
      <c r="J56" s="344">
        <f t="shared" si="15"/>
        <v>0</v>
      </c>
      <c r="K56" s="344">
        <f t="shared" si="15"/>
        <v>0</v>
      </c>
      <c r="L56" s="344">
        <f t="shared" si="15"/>
        <v>0</v>
      </c>
      <c r="M56" s="396">
        <f t="shared" si="15"/>
        <v>0</v>
      </c>
      <c r="N56" s="433">
        <f t="shared" si="15"/>
        <v>0</v>
      </c>
      <c r="O56" s="434"/>
      <c r="P56" s="236"/>
      <c r="Q56" s="344">
        <f t="shared" si="16"/>
        <v>0</v>
      </c>
      <c r="R56" s="344">
        <f t="shared" si="16"/>
        <v>0</v>
      </c>
      <c r="S56" s="344">
        <f t="shared" si="16"/>
        <v>0</v>
      </c>
      <c r="T56" s="396">
        <f t="shared" si="16"/>
        <v>0</v>
      </c>
      <c r="U56" s="433">
        <f t="shared" si="16"/>
        <v>0</v>
      </c>
    </row>
    <row r="57" spans="1:23">
      <c r="A57" s="27" t="s">
        <v>19</v>
      </c>
      <c r="B57" s="454" t="s">
        <v>64</v>
      </c>
      <c r="C57" s="344"/>
      <c r="D57" s="344"/>
      <c r="E57" s="85">
        <v>2024</v>
      </c>
      <c r="F57" s="86" t="str">
        <f t="shared" si="14"/>
        <v>£m 20/21</v>
      </c>
      <c r="G57" s="455" t="s">
        <v>44</v>
      </c>
      <c r="H57" s="434"/>
      <c r="I57" s="236"/>
      <c r="J57" s="344">
        <f t="shared" si="15"/>
        <v>0</v>
      </c>
      <c r="K57" s="344">
        <f t="shared" si="15"/>
        <v>0</v>
      </c>
      <c r="L57" s="344">
        <f t="shared" si="15"/>
        <v>0</v>
      </c>
      <c r="M57" s="396">
        <f t="shared" si="15"/>
        <v>0</v>
      </c>
      <c r="N57" s="433">
        <f t="shared" si="15"/>
        <v>0</v>
      </c>
      <c r="O57" s="434"/>
      <c r="P57" s="236"/>
      <c r="Q57" s="344">
        <f t="shared" si="16"/>
        <v>0</v>
      </c>
      <c r="R57" s="344">
        <f t="shared" si="16"/>
        <v>0</v>
      </c>
      <c r="S57" s="344">
        <f t="shared" si="16"/>
        <v>0</v>
      </c>
      <c r="T57" s="396">
        <f t="shared" si="16"/>
        <v>0</v>
      </c>
      <c r="U57" s="433">
        <f t="shared" si="16"/>
        <v>0</v>
      </c>
    </row>
    <row r="58" spans="1:23">
      <c r="A58" s="27" t="s">
        <v>19</v>
      </c>
      <c r="B58" s="454" t="s">
        <v>65</v>
      </c>
      <c r="C58" s="344"/>
      <c r="D58" s="344"/>
      <c r="E58" s="85">
        <v>2024</v>
      </c>
      <c r="F58" s="86" t="str">
        <f t="shared" si="14"/>
        <v>£m 20/21</v>
      </c>
      <c r="G58" s="455" t="s">
        <v>44</v>
      </c>
      <c r="H58" s="434"/>
      <c r="I58" s="236"/>
      <c r="J58" s="344">
        <f t="shared" si="15"/>
        <v>0</v>
      </c>
      <c r="K58" s="344">
        <f t="shared" si="15"/>
        <v>0</v>
      </c>
      <c r="L58" s="344">
        <f t="shared" si="15"/>
        <v>0</v>
      </c>
      <c r="M58" s="396">
        <f t="shared" si="15"/>
        <v>0</v>
      </c>
      <c r="N58" s="433">
        <f t="shared" si="15"/>
        <v>0</v>
      </c>
      <c r="O58" s="434"/>
      <c r="P58" s="236"/>
      <c r="Q58" s="344">
        <f t="shared" si="16"/>
        <v>0</v>
      </c>
      <c r="R58" s="344">
        <f t="shared" si="16"/>
        <v>0</v>
      </c>
      <c r="S58" s="344">
        <f t="shared" si="16"/>
        <v>0</v>
      </c>
      <c r="T58" s="396">
        <f t="shared" si="16"/>
        <v>0</v>
      </c>
      <c r="U58" s="433">
        <f t="shared" si="16"/>
        <v>0</v>
      </c>
    </row>
    <row r="59" spans="1:23">
      <c r="A59" s="27" t="s">
        <v>19</v>
      </c>
      <c r="B59" s="454" t="s">
        <v>66</v>
      </c>
      <c r="C59" s="344"/>
      <c r="D59" s="344"/>
      <c r="E59" s="85">
        <v>2024</v>
      </c>
      <c r="F59" s="86" t="str">
        <f t="shared" si="14"/>
        <v>£m 20/21</v>
      </c>
      <c r="G59" s="455" t="s">
        <v>44</v>
      </c>
      <c r="H59" s="434"/>
      <c r="I59" s="236"/>
      <c r="J59" s="344">
        <f t="shared" si="15"/>
        <v>0</v>
      </c>
      <c r="K59" s="344">
        <f t="shared" si="15"/>
        <v>0</v>
      </c>
      <c r="L59" s="344">
        <f t="shared" si="15"/>
        <v>0</v>
      </c>
      <c r="M59" s="396">
        <f t="shared" si="15"/>
        <v>0</v>
      </c>
      <c r="N59" s="433">
        <f t="shared" si="15"/>
        <v>0</v>
      </c>
      <c r="O59" s="434"/>
      <c r="P59" s="236"/>
      <c r="Q59" s="344">
        <f t="shared" si="16"/>
        <v>0</v>
      </c>
      <c r="R59" s="344">
        <f t="shared" si="16"/>
        <v>0</v>
      </c>
      <c r="S59" s="344">
        <f t="shared" si="16"/>
        <v>0</v>
      </c>
      <c r="T59" s="396">
        <f t="shared" si="16"/>
        <v>0</v>
      </c>
      <c r="U59" s="433">
        <f t="shared" si="16"/>
        <v>0</v>
      </c>
    </row>
    <row r="60" spans="1:23">
      <c r="A60" s="27" t="s">
        <v>19</v>
      </c>
      <c r="B60" s="454" t="s">
        <v>67</v>
      </c>
      <c r="C60" s="344"/>
      <c r="D60" s="344"/>
      <c r="E60" s="85">
        <v>2024</v>
      </c>
      <c r="F60" s="86" t="str">
        <f t="shared" si="14"/>
        <v>£m 20/21</v>
      </c>
      <c r="G60" s="455" t="s">
        <v>44</v>
      </c>
      <c r="H60" s="434"/>
      <c r="I60" s="236"/>
      <c r="J60" s="344">
        <f t="shared" si="15"/>
        <v>0</v>
      </c>
      <c r="K60" s="344">
        <f t="shared" si="15"/>
        <v>0</v>
      </c>
      <c r="L60" s="344">
        <f t="shared" si="15"/>
        <v>0</v>
      </c>
      <c r="M60" s="396">
        <f t="shared" si="15"/>
        <v>0</v>
      </c>
      <c r="N60" s="433">
        <f t="shared" si="15"/>
        <v>0</v>
      </c>
      <c r="O60" s="434"/>
      <c r="P60" s="236"/>
      <c r="Q60" s="344">
        <f t="shared" si="16"/>
        <v>0</v>
      </c>
      <c r="R60" s="344">
        <f t="shared" si="16"/>
        <v>0</v>
      </c>
      <c r="S60" s="344">
        <f t="shared" si="16"/>
        <v>0</v>
      </c>
      <c r="T60" s="396">
        <f t="shared" si="16"/>
        <v>0</v>
      </c>
      <c r="U60" s="433">
        <f t="shared" si="16"/>
        <v>0</v>
      </c>
    </row>
    <row r="61" spans="1:23">
      <c r="A61" s="27" t="s">
        <v>19</v>
      </c>
      <c r="B61" s="454" t="s">
        <v>68</v>
      </c>
      <c r="C61" s="344"/>
      <c r="D61" s="344"/>
      <c r="E61" s="85">
        <v>2024</v>
      </c>
      <c r="F61" s="86" t="str">
        <f t="shared" si="14"/>
        <v>£m 20/21</v>
      </c>
      <c r="G61" s="455" t="s">
        <v>44</v>
      </c>
      <c r="H61" s="434"/>
      <c r="I61" s="236"/>
      <c r="J61" s="344">
        <f t="shared" si="15"/>
        <v>0</v>
      </c>
      <c r="K61" s="344">
        <f t="shared" si="15"/>
        <v>0</v>
      </c>
      <c r="L61" s="344">
        <f t="shared" si="15"/>
        <v>0</v>
      </c>
      <c r="M61" s="396">
        <f t="shared" si="15"/>
        <v>0</v>
      </c>
      <c r="N61" s="433">
        <f t="shared" si="15"/>
        <v>0</v>
      </c>
      <c r="O61" s="434"/>
      <c r="P61" s="236"/>
      <c r="Q61" s="344">
        <f t="shared" si="16"/>
        <v>0</v>
      </c>
      <c r="R61" s="344">
        <f t="shared" si="16"/>
        <v>0</v>
      </c>
      <c r="S61" s="344">
        <f t="shared" si="16"/>
        <v>0</v>
      </c>
      <c r="T61" s="396">
        <f t="shared" si="16"/>
        <v>0</v>
      </c>
      <c r="U61" s="433">
        <f t="shared" si="16"/>
        <v>0</v>
      </c>
    </row>
    <row r="62" spans="1:23">
      <c r="A62" s="27" t="s">
        <v>19</v>
      </c>
      <c r="B62" s="454" t="s">
        <v>69</v>
      </c>
      <c r="C62" s="344"/>
      <c r="D62" s="344"/>
      <c r="E62" s="85">
        <v>2024</v>
      </c>
      <c r="F62" s="86" t="str">
        <f t="shared" si="14"/>
        <v>£m 20/21</v>
      </c>
      <c r="G62" s="455" t="s">
        <v>44</v>
      </c>
      <c r="H62" s="434"/>
      <c r="I62" s="236"/>
      <c r="J62" s="344">
        <f t="shared" si="15"/>
        <v>0</v>
      </c>
      <c r="K62" s="344">
        <f t="shared" si="15"/>
        <v>0</v>
      </c>
      <c r="L62" s="344">
        <f t="shared" si="15"/>
        <v>0</v>
      </c>
      <c r="M62" s="396">
        <f t="shared" si="15"/>
        <v>0</v>
      </c>
      <c r="N62" s="433">
        <f t="shared" si="15"/>
        <v>0</v>
      </c>
      <c r="O62" s="434"/>
      <c r="P62" s="236"/>
      <c r="Q62" s="344">
        <f t="shared" si="16"/>
        <v>0</v>
      </c>
      <c r="R62" s="344">
        <f t="shared" si="16"/>
        <v>0</v>
      </c>
      <c r="S62" s="344">
        <f t="shared" si="16"/>
        <v>0</v>
      </c>
      <c r="T62" s="396">
        <f t="shared" si="16"/>
        <v>0</v>
      </c>
      <c r="U62" s="433">
        <f t="shared" si="16"/>
        <v>0</v>
      </c>
    </row>
    <row r="63" spans="1:23">
      <c r="A63" s="27" t="s">
        <v>19</v>
      </c>
      <c r="B63" s="454" t="s">
        <v>70</v>
      </c>
      <c r="C63" s="344"/>
      <c r="D63" s="344"/>
      <c r="E63" s="85">
        <v>2024</v>
      </c>
      <c r="F63" s="86" t="str">
        <f t="shared" si="14"/>
        <v>£m 20/21</v>
      </c>
      <c r="G63" s="455" t="s">
        <v>44</v>
      </c>
      <c r="H63" s="434"/>
      <c r="I63" s="236"/>
      <c r="J63" s="344">
        <f t="shared" si="15"/>
        <v>0</v>
      </c>
      <c r="K63" s="344">
        <f t="shared" si="15"/>
        <v>0</v>
      </c>
      <c r="L63" s="344">
        <f t="shared" si="15"/>
        <v>0</v>
      </c>
      <c r="M63" s="396">
        <f t="shared" si="15"/>
        <v>0</v>
      </c>
      <c r="N63" s="433">
        <f t="shared" si="15"/>
        <v>0</v>
      </c>
      <c r="O63" s="434"/>
      <c r="P63" s="236"/>
      <c r="Q63" s="344">
        <f t="shared" si="16"/>
        <v>0</v>
      </c>
      <c r="R63" s="344">
        <f t="shared" si="16"/>
        <v>0</v>
      </c>
      <c r="S63" s="344">
        <f t="shared" si="16"/>
        <v>0</v>
      </c>
      <c r="T63" s="396">
        <f t="shared" si="16"/>
        <v>0</v>
      </c>
      <c r="U63" s="433">
        <f t="shared" si="16"/>
        <v>0</v>
      </c>
    </row>
    <row r="64" spans="1:23">
      <c r="A64" s="27" t="s">
        <v>19</v>
      </c>
      <c r="B64" s="454" t="s">
        <v>71</v>
      </c>
      <c r="C64" s="344"/>
      <c r="D64" s="344"/>
      <c r="E64" s="85">
        <v>2024</v>
      </c>
      <c r="F64" s="86" t="str">
        <f t="shared" si="14"/>
        <v>£m 20/21</v>
      </c>
      <c r="G64" s="455" t="s">
        <v>44</v>
      </c>
      <c r="H64" s="434"/>
      <c r="I64" s="236"/>
      <c r="J64" s="344">
        <f t="shared" si="15"/>
        <v>0</v>
      </c>
      <c r="K64" s="344">
        <f t="shared" si="15"/>
        <v>0</v>
      </c>
      <c r="L64" s="344">
        <f t="shared" si="15"/>
        <v>0</v>
      </c>
      <c r="M64" s="396">
        <f t="shared" si="15"/>
        <v>0</v>
      </c>
      <c r="N64" s="433">
        <f t="shared" si="15"/>
        <v>0</v>
      </c>
      <c r="O64" s="434"/>
      <c r="P64" s="236"/>
      <c r="Q64" s="344">
        <f t="shared" si="16"/>
        <v>0</v>
      </c>
      <c r="R64" s="344">
        <f t="shared" si="16"/>
        <v>0</v>
      </c>
      <c r="S64" s="344">
        <f t="shared" si="16"/>
        <v>0</v>
      </c>
      <c r="T64" s="396">
        <f t="shared" si="16"/>
        <v>0</v>
      </c>
      <c r="U64" s="433">
        <f t="shared" si="16"/>
        <v>0</v>
      </c>
    </row>
    <row r="65" spans="1:21">
      <c r="A65" s="27" t="s">
        <v>19</v>
      </c>
      <c r="B65" s="454" t="s">
        <v>72</v>
      </c>
      <c r="C65" s="344"/>
      <c r="D65" s="344"/>
      <c r="E65" s="85">
        <v>2024</v>
      </c>
      <c r="F65" s="86" t="str">
        <f t="shared" si="14"/>
        <v>£m 20/21</v>
      </c>
      <c r="G65" s="455" t="s">
        <v>43</v>
      </c>
      <c r="H65" s="434"/>
      <c r="I65" s="236"/>
      <c r="J65" s="344">
        <f t="shared" si="15"/>
        <v>0</v>
      </c>
      <c r="K65" s="344">
        <f t="shared" si="15"/>
        <v>0</v>
      </c>
      <c r="L65" s="344">
        <f t="shared" si="15"/>
        <v>0</v>
      </c>
      <c r="M65" s="396">
        <f t="shared" si="15"/>
        <v>0</v>
      </c>
      <c r="N65" s="433">
        <f t="shared" si="15"/>
        <v>0</v>
      </c>
      <c r="O65" s="434"/>
      <c r="P65" s="236"/>
      <c r="Q65" s="344">
        <f t="shared" si="16"/>
        <v>0</v>
      </c>
      <c r="R65" s="344">
        <f t="shared" si="16"/>
        <v>0</v>
      </c>
      <c r="S65" s="344">
        <f t="shared" si="16"/>
        <v>0</v>
      </c>
      <c r="T65" s="396">
        <f t="shared" si="16"/>
        <v>0</v>
      </c>
      <c r="U65" s="433">
        <f t="shared" si="16"/>
        <v>0</v>
      </c>
    </row>
    <row r="66" spans="1:21">
      <c r="A66" s="27" t="s">
        <v>19</v>
      </c>
      <c r="B66" s="454" t="s">
        <v>73</v>
      </c>
      <c r="C66" s="344"/>
      <c r="D66" s="344"/>
      <c r="E66" s="85">
        <v>2024</v>
      </c>
      <c r="F66" s="86" t="str">
        <f t="shared" si="14"/>
        <v>£m 20/21</v>
      </c>
      <c r="G66" s="455" t="s">
        <v>43</v>
      </c>
      <c r="H66" s="434"/>
      <c r="I66" s="236"/>
      <c r="J66" s="344">
        <f t="shared" si="15"/>
        <v>0</v>
      </c>
      <c r="K66" s="344">
        <f t="shared" si="15"/>
        <v>0</v>
      </c>
      <c r="L66" s="344">
        <f t="shared" si="15"/>
        <v>0</v>
      </c>
      <c r="M66" s="396">
        <f t="shared" si="15"/>
        <v>0</v>
      </c>
      <c r="N66" s="433">
        <f t="shared" si="15"/>
        <v>0</v>
      </c>
      <c r="O66" s="434"/>
      <c r="P66" s="236"/>
      <c r="Q66" s="344">
        <f t="shared" si="16"/>
        <v>0</v>
      </c>
      <c r="R66" s="344">
        <f t="shared" si="16"/>
        <v>0</v>
      </c>
      <c r="S66" s="344">
        <f t="shared" si="16"/>
        <v>0</v>
      </c>
      <c r="T66" s="396">
        <f t="shared" si="16"/>
        <v>0</v>
      </c>
      <c r="U66" s="433">
        <f t="shared" si="16"/>
        <v>0</v>
      </c>
    </row>
    <row r="67" spans="1:21">
      <c r="A67" s="27" t="s">
        <v>19</v>
      </c>
      <c r="B67" s="454" t="s">
        <v>74</v>
      </c>
      <c r="C67" s="344"/>
      <c r="D67" s="344"/>
      <c r="E67" s="85">
        <v>2024</v>
      </c>
      <c r="F67" s="86" t="str">
        <f t="shared" si="14"/>
        <v>£m 20/21</v>
      </c>
      <c r="G67" s="455" t="s">
        <v>43</v>
      </c>
      <c r="H67" s="434"/>
      <c r="I67" s="236"/>
      <c r="J67" s="344">
        <f t="shared" si="15"/>
        <v>0</v>
      </c>
      <c r="K67" s="344">
        <f t="shared" si="15"/>
        <v>0</v>
      </c>
      <c r="L67" s="344">
        <f t="shared" si="15"/>
        <v>0</v>
      </c>
      <c r="M67" s="396">
        <f t="shared" si="15"/>
        <v>0</v>
      </c>
      <c r="N67" s="433">
        <f t="shared" si="15"/>
        <v>0</v>
      </c>
      <c r="O67" s="434"/>
      <c r="P67" s="236"/>
      <c r="Q67" s="344">
        <f t="shared" si="16"/>
        <v>0</v>
      </c>
      <c r="R67" s="344">
        <f t="shared" si="16"/>
        <v>0</v>
      </c>
      <c r="S67" s="344">
        <f t="shared" si="16"/>
        <v>0</v>
      </c>
      <c r="T67" s="396">
        <f t="shared" si="16"/>
        <v>0</v>
      </c>
      <c r="U67" s="433">
        <f t="shared" si="16"/>
        <v>0</v>
      </c>
    </row>
    <row r="68" spans="1:21">
      <c r="A68" s="27" t="s">
        <v>19</v>
      </c>
      <c r="B68" s="454" t="s">
        <v>75</v>
      </c>
      <c r="C68" s="344"/>
      <c r="D68" s="344"/>
      <c r="E68" s="85">
        <v>2024</v>
      </c>
      <c r="F68" s="86" t="str">
        <f t="shared" si="14"/>
        <v>£m 20/21</v>
      </c>
      <c r="G68" s="455" t="s">
        <v>43</v>
      </c>
      <c r="H68" s="434"/>
      <c r="I68" s="236"/>
      <c r="J68" s="344">
        <f t="shared" si="15"/>
        <v>0</v>
      </c>
      <c r="K68" s="344">
        <f t="shared" si="15"/>
        <v>0</v>
      </c>
      <c r="L68" s="344">
        <f t="shared" si="15"/>
        <v>0</v>
      </c>
      <c r="M68" s="396">
        <f t="shared" si="15"/>
        <v>0</v>
      </c>
      <c r="N68" s="433">
        <f t="shared" si="15"/>
        <v>0</v>
      </c>
      <c r="O68" s="434"/>
      <c r="P68" s="236"/>
      <c r="Q68" s="344">
        <f t="shared" si="16"/>
        <v>0</v>
      </c>
      <c r="R68" s="344">
        <f t="shared" si="16"/>
        <v>0</v>
      </c>
      <c r="S68" s="344">
        <f t="shared" si="16"/>
        <v>0</v>
      </c>
      <c r="T68" s="396">
        <f t="shared" si="16"/>
        <v>0</v>
      </c>
      <c r="U68" s="433">
        <f t="shared" si="16"/>
        <v>0</v>
      </c>
    </row>
    <row r="69" spans="1:21">
      <c r="A69" s="27" t="s">
        <v>25</v>
      </c>
      <c r="B69" s="454" t="s">
        <v>76</v>
      </c>
      <c r="C69" s="344">
        <v>0.5</v>
      </c>
      <c r="D69" s="344">
        <v>0.6</v>
      </c>
      <c r="E69" s="85">
        <v>2022</v>
      </c>
      <c r="F69" s="86" t="str">
        <f t="shared" si="14"/>
        <v>£m 18/19</v>
      </c>
      <c r="G69" s="455" t="s">
        <v>25</v>
      </c>
      <c r="H69" s="435">
        <f t="shared" ref="H69:L83" si="17">INDEX($C$36:$I$43,MATCH($G69,$B$36:$B$43,0),MATCH(H$54,$C$35:$I$35))</f>
        <v>2.0500000000000001E-2</v>
      </c>
      <c r="I69" s="344">
        <f t="shared" si="17"/>
        <v>1.9E-2</v>
      </c>
      <c r="J69" s="344">
        <f t="shared" si="17"/>
        <v>1.83E-2</v>
      </c>
      <c r="K69" s="344">
        <f t="shared" si="17"/>
        <v>1.78E-2</v>
      </c>
      <c r="L69" s="344">
        <f t="shared" si="17"/>
        <v>1.7500000000000002E-2</v>
      </c>
      <c r="M69" s="236"/>
      <c r="N69" s="436"/>
      <c r="O69" s="435">
        <f t="shared" ref="O69:S83" si="18">INDEX($C$47:$I$51,MATCH($A69,$B$47:$B$51,0),MATCH(O$54,$C$46:$I$46))</f>
        <v>4.5181881000000007E-2</v>
      </c>
      <c r="P69" s="344">
        <f t="shared" si="18"/>
        <v>4.5568105000000005E-2</v>
      </c>
      <c r="Q69" s="344">
        <f t="shared" si="18"/>
        <v>4.5399131999999995E-2</v>
      </c>
      <c r="R69" s="344">
        <f t="shared" si="18"/>
        <v>4.564052200000001E-2</v>
      </c>
      <c r="S69" s="344">
        <f t="shared" si="18"/>
        <v>4.5833633999999998E-2</v>
      </c>
      <c r="T69" s="236"/>
      <c r="U69" s="436"/>
    </row>
    <row r="70" spans="1:21">
      <c r="A70" s="27" t="s">
        <v>25</v>
      </c>
      <c r="B70" s="454" t="s">
        <v>77</v>
      </c>
      <c r="C70" s="344">
        <v>0.5</v>
      </c>
      <c r="D70" s="344">
        <v>0.6</v>
      </c>
      <c r="E70" s="85">
        <v>2022</v>
      </c>
      <c r="F70" s="86" t="str">
        <f t="shared" si="14"/>
        <v>£m 18/19</v>
      </c>
      <c r="G70" s="455" t="s">
        <v>25</v>
      </c>
      <c r="H70" s="435">
        <f t="shared" si="17"/>
        <v>2.0500000000000001E-2</v>
      </c>
      <c r="I70" s="344">
        <f t="shared" si="17"/>
        <v>1.9E-2</v>
      </c>
      <c r="J70" s="344">
        <f t="shared" si="17"/>
        <v>1.83E-2</v>
      </c>
      <c r="K70" s="344">
        <f t="shared" si="17"/>
        <v>1.78E-2</v>
      </c>
      <c r="L70" s="344">
        <f t="shared" si="17"/>
        <v>1.7500000000000002E-2</v>
      </c>
      <c r="M70" s="236"/>
      <c r="N70" s="436"/>
      <c r="O70" s="435">
        <f t="shared" si="18"/>
        <v>4.5181881000000007E-2</v>
      </c>
      <c r="P70" s="344">
        <f t="shared" si="18"/>
        <v>4.5568105000000005E-2</v>
      </c>
      <c r="Q70" s="344">
        <f t="shared" si="18"/>
        <v>4.5399131999999995E-2</v>
      </c>
      <c r="R70" s="344">
        <f t="shared" si="18"/>
        <v>4.564052200000001E-2</v>
      </c>
      <c r="S70" s="344">
        <f t="shared" si="18"/>
        <v>4.5833633999999998E-2</v>
      </c>
      <c r="T70" s="236"/>
      <c r="U70" s="436"/>
    </row>
    <row r="71" spans="1:21">
      <c r="A71" s="27" t="s">
        <v>25</v>
      </c>
      <c r="B71" s="454" t="s">
        <v>78</v>
      </c>
      <c r="C71" s="344">
        <v>0.5</v>
      </c>
      <c r="D71" s="344">
        <v>0.6</v>
      </c>
      <c r="E71" s="85">
        <v>2022</v>
      </c>
      <c r="F71" s="86" t="str">
        <f t="shared" si="14"/>
        <v>£m 18/19</v>
      </c>
      <c r="G71" s="455" t="s">
        <v>25</v>
      </c>
      <c r="H71" s="435">
        <f t="shared" si="17"/>
        <v>2.0500000000000001E-2</v>
      </c>
      <c r="I71" s="344">
        <f t="shared" si="17"/>
        <v>1.9E-2</v>
      </c>
      <c r="J71" s="344">
        <f t="shared" si="17"/>
        <v>1.83E-2</v>
      </c>
      <c r="K71" s="344">
        <f t="shared" si="17"/>
        <v>1.78E-2</v>
      </c>
      <c r="L71" s="344">
        <f t="shared" si="17"/>
        <v>1.7500000000000002E-2</v>
      </c>
      <c r="M71" s="236"/>
      <c r="N71" s="436"/>
      <c r="O71" s="435">
        <f t="shared" si="18"/>
        <v>4.5181881000000007E-2</v>
      </c>
      <c r="P71" s="344">
        <f t="shared" si="18"/>
        <v>4.5568105000000005E-2</v>
      </c>
      <c r="Q71" s="344">
        <f t="shared" si="18"/>
        <v>4.5399131999999995E-2</v>
      </c>
      <c r="R71" s="344">
        <f t="shared" si="18"/>
        <v>4.564052200000001E-2</v>
      </c>
      <c r="S71" s="344">
        <f t="shared" si="18"/>
        <v>4.5833633999999998E-2</v>
      </c>
      <c r="T71" s="236"/>
      <c r="U71" s="436"/>
    </row>
    <row r="72" spans="1:21">
      <c r="A72" s="27" t="s">
        <v>25</v>
      </c>
      <c r="B72" s="454" t="s">
        <v>79</v>
      </c>
      <c r="C72" s="344">
        <v>0.5</v>
      </c>
      <c r="D72" s="344">
        <v>0.6</v>
      </c>
      <c r="E72" s="85">
        <v>2022</v>
      </c>
      <c r="F72" s="86" t="str">
        <f t="shared" si="14"/>
        <v>£m 18/19</v>
      </c>
      <c r="G72" s="455" t="s">
        <v>25</v>
      </c>
      <c r="H72" s="435">
        <f t="shared" si="17"/>
        <v>2.0500000000000001E-2</v>
      </c>
      <c r="I72" s="344">
        <f t="shared" si="17"/>
        <v>1.9E-2</v>
      </c>
      <c r="J72" s="344">
        <f t="shared" si="17"/>
        <v>1.83E-2</v>
      </c>
      <c r="K72" s="344">
        <f t="shared" si="17"/>
        <v>1.78E-2</v>
      </c>
      <c r="L72" s="344">
        <f t="shared" si="17"/>
        <v>1.7500000000000002E-2</v>
      </c>
      <c r="M72" s="236"/>
      <c r="N72" s="436"/>
      <c r="O72" s="435">
        <f t="shared" si="18"/>
        <v>4.5181881000000007E-2</v>
      </c>
      <c r="P72" s="344">
        <f t="shared" si="18"/>
        <v>4.5568105000000005E-2</v>
      </c>
      <c r="Q72" s="344">
        <f t="shared" si="18"/>
        <v>4.5399131999999995E-2</v>
      </c>
      <c r="R72" s="344">
        <f t="shared" si="18"/>
        <v>4.564052200000001E-2</v>
      </c>
      <c r="S72" s="344">
        <f t="shared" si="18"/>
        <v>4.5833633999999998E-2</v>
      </c>
      <c r="T72" s="236"/>
      <c r="U72" s="436"/>
    </row>
    <row r="73" spans="1:21">
      <c r="A73" s="27" t="s">
        <v>25</v>
      </c>
      <c r="B73" s="454" t="s">
        <v>80</v>
      </c>
      <c r="C73" s="344">
        <v>0.51</v>
      </c>
      <c r="D73" s="344">
        <v>0.6</v>
      </c>
      <c r="E73" s="85">
        <v>2022</v>
      </c>
      <c r="F73" s="86" t="str">
        <f t="shared" si="14"/>
        <v>£m 18/19</v>
      </c>
      <c r="G73" s="455" t="s">
        <v>47</v>
      </c>
      <c r="H73" s="435">
        <f t="shared" si="17"/>
        <v>2.1100000000000001E-2</v>
      </c>
      <c r="I73" s="344">
        <f t="shared" si="17"/>
        <v>1.9599999999999999E-2</v>
      </c>
      <c r="J73" s="344">
        <f t="shared" si="17"/>
        <v>1.89E-2</v>
      </c>
      <c r="K73" s="344">
        <f t="shared" si="17"/>
        <v>1.84E-2</v>
      </c>
      <c r="L73" s="344">
        <f t="shared" si="17"/>
        <v>1.8100000000000002E-2</v>
      </c>
      <c r="M73" s="236"/>
      <c r="N73" s="436"/>
      <c r="O73" s="435">
        <f t="shared" si="18"/>
        <v>4.5181881000000007E-2</v>
      </c>
      <c r="P73" s="344">
        <f t="shared" si="18"/>
        <v>4.5568105000000005E-2</v>
      </c>
      <c r="Q73" s="344">
        <f t="shared" si="18"/>
        <v>4.5399131999999995E-2</v>
      </c>
      <c r="R73" s="344">
        <f t="shared" si="18"/>
        <v>4.564052200000001E-2</v>
      </c>
      <c r="S73" s="344">
        <f t="shared" si="18"/>
        <v>4.5833633999999998E-2</v>
      </c>
      <c r="T73" s="236"/>
      <c r="U73" s="436"/>
    </row>
    <row r="74" spans="1:21">
      <c r="A74" s="27" t="s">
        <v>25</v>
      </c>
      <c r="B74" s="454" t="s">
        <v>81</v>
      </c>
      <c r="C74" s="344">
        <v>0.51</v>
      </c>
      <c r="D74" s="344">
        <v>0.6</v>
      </c>
      <c r="E74" s="85">
        <v>2022</v>
      </c>
      <c r="F74" s="86" t="str">
        <f t="shared" si="14"/>
        <v>£m 18/19</v>
      </c>
      <c r="G74" s="455" t="s">
        <v>47</v>
      </c>
      <c r="H74" s="435">
        <f t="shared" si="17"/>
        <v>2.1100000000000001E-2</v>
      </c>
      <c r="I74" s="344">
        <f t="shared" si="17"/>
        <v>1.9599999999999999E-2</v>
      </c>
      <c r="J74" s="344">
        <f t="shared" si="17"/>
        <v>1.89E-2</v>
      </c>
      <c r="K74" s="344">
        <f t="shared" si="17"/>
        <v>1.84E-2</v>
      </c>
      <c r="L74" s="344">
        <f t="shared" si="17"/>
        <v>1.8100000000000002E-2</v>
      </c>
      <c r="M74" s="236"/>
      <c r="N74" s="436"/>
      <c r="O74" s="435">
        <f t="shared" si="18"/>
        <v>4.5181881000000007E-2</v>
      </c>
      <c r="P74" s="344">
        <f t="shared" si="18"/>
        <v>4.5568105000000005E-2</v>
      </c>
      <c r="Q74" s="344">
        <f t="shared" si="18"/>
        <v>4.5399131999999995E-2</v>
      </c>
      <c r="R74" s="344">
        <f t="shared" si="18"/>
        <v>4.564052200000001E-2</v>
      </c>
      <c r="S74" s="344">
        <f t="shared" si="18"/>
        <v>4.5833633999999998E-2</v>
      </c>
      <c r="T74" s="236"/>
      <c r="U74" s="436"/>
    </row>
    <row r="75" spans="1:21">
      <c r="A75" s="27" t="s">
        <v>25</v>
      </c>
      <c r="B75" s="454" t="s">
        <v>82</v>
      </c>
      <c r="C75" s="344">
        <v>0.5</v>
      </c>
      <c r="D75" s="344">
        <v>0.6</v>
      </c>
      <c r="E75" s="85">
        <v>2022</v>
      </c>
      <c r="F75" s="86" t="str">
        <f t="shared" si="14"/>
        <v>£m 18/19</v>
      </c>
      <c r="G75" s="455" t="s">
        <v>25</v>
      </c>
      <c r="H75" s="435">
        <f t="shared" si="17"/>
        <v>2.0500000000000001E-2</v>
      </c>
      <c r="I75" s="344">
        <f t="shared" si="17"/>
        <v>1.9E-2</v>
      </c>
      <c r="J75" s="344">
        <f t="shared" si="17"/>
        <v>1.83E-2</v>
      </c>
      <c r="K75" s="344">
        <f t="shared" si="17"/>
        <v>1.78E-2</v>
      </c>
      <c r="L75" s="344">
        <f t="shared" si="17"/>
        <v>1.7500000000000002E-2</v>
      </c>
      <c r="M75" s="236"/>
      <c r="N75" s="436"/>
      <c r="O75" s="435">
        <f t="shared" si="18"/>
        <v>4.5181881000000007E-2</v>
      </c>
      <c r="P75" s="344">
        <f t="shared" si="18"/>
        <v>4.5568105000000005E-2</v>
      </c>
      <c r="Q75" s="344">
        <f t="shared" si="18"/>
        <v>4.5399131999999995E-2</v>
      </c>
      <c r="R75" s="344">
        <f t="shared" si="18"/>
        <v>4.564052200000001E-2</v>
      </c>
      <c r="S75" s="344">
        <f t="shared" si="18"/>
        <v>4.5833633999999998E-2</v>
      </c>
      <c r="T75" s="236"/>
      <c r="U75" s="436"/>
    </row>
    <row r="76" spans="1:21">
      <c r="A76" s="27" t="s">
        <v>25</v>
      </c>
      <c r="B76" s="454" t="s">
        <v>83</v>
      </c>
      <c r="C76" s="344">
        <v>0.5</v>
      </c>
      <c r="D76" s="344">
        <v>0.6</v>
      </c>
      <c r="E76" s="85">
        <v>2022</v>
      </c>
      <c r="F76" s="86" t="str">
        <f t="shared" si="14"/>
        <v>£m 18/19</v>
      </c>
      <c r="G76" s="455" t="s">
        <v>47</v>
      </c>
      <c r="H76" s="435">
        <f t="shared" si="17"/>
        <v>2.1100000000000001E-2</v>
      </c>
      <c r="I76" s="344">
        <f t="shared" si="17"/>
        <v>1.9599999999999999E-2</v>
      </c>
      <c r="J76" s="344">
        <f t="shared" si="17"/>
        <v>1.89E-2</v>
      </c>
      <c r="K76" s="344">
        <f t="shared" si="17"/>
        <v>1.84E-2</v>
      </c>
      <c r="L76" s="344">
        <f t="shared" si="17"/>
        <v>1.8100000000000002E-2</v>
      </c>
      <c r="M76" s="236"/>
      <c r="N76" s="436"/>
      <c r="O76" s="435">
        <f t="shared" si="18"/>
        <v>4.5181881000000007E-2</v>
      </c>
      <c r="P76" s="344">
        <f t="shared" si="18"/>
        <v>4.5568105000000005E-2</v>
      </c>
      <c r="Q76" s="344">
        <f t="shared" si="18"/>
        <v>4.5399131999999995E-2</v>
      </c>
      <c r="R76" s="344">
        <f t="shared" si="18"/>
        <v>4.564052200000001E-2</v>
      </c>
      <c r="S76" s="344">
        <f t="shared" si="18"/>
        <v>4.5833633999999998E-2</v>
      </c>
      <c r="T76" s="236"/>
      <c r="U76" s="436"/>
    </row>
    <row r="77" spans="1:21">
      <c r="A77" s="27" t="s">
        <v>27</v>
      </c>
      <c r="B77" s="454" t="s">
        <v>84</v>
      </c>
      <c r="C77" s="344">
        <v>0.61</v>
      </c>
      <c r="D77" s="344">
        <v>0.6</v>
      </c>
      <c r="E77" s="85">
        <v>2022</v>
      </c>
      <c r="F77" s="86" t="str">
        <f t="shared" si="14"/>
        <v>£m 18/19</v>
      </c>
      <c r="G77" s="455" t="s">
        <v>27</v>
      </c>
      <c r="H77" s="435">
        <f t="shared" si="17"/>
        <v>2.0500000000000001E-2</v>
      </c>
      <c r="I77" s="344">
        <f t="shared" si="17"/>
        <v>1.9E-2</v>
      </c>
      <c r="J77" s="344">
        <f t="shared" si="17"/>
        <v>1.83E-2</v>
      </c>
      <c r="K77" s="344">
        <f t="shared" si="17"/>
        <v>1.78E-2</v>
      </c>
      <c r="L77" s="344">
        <f t="shared" si="17"/>
        <v>1.7500000000000002E-2</v>
      </c>
      <c r="M77" s="236"/>
      <c r="N77" s="436"/>
      <c r="O77" s="435">
        <f t="shared" si="18"/>
        <v>4.5181881000000007E-2</v>
      </c>
      <c r="P77" s="344">
        <f t="shared" si="18"/>
        <v>4.5568105000000005E-2</v>
      </c>
      <c r="Q77" s="344">
        <f t="shared" si="18"/>
        <v>4.5399131999999995E-2</v>
      </c>
      <c r="R77" s="344">
        <f t="shared" si="18"/>
        <v>4.564052200000001E-2</v>
      </c>
      <c r="S77" s="344">
        <f t="shared" si="18"/>
        <v>4.5833633999999998E-2</v>
      </c>
      <c r="T77" s="236"/>
      <c r="U77" s="436"/>
    </row>
    <row r="78" spans="1:21">
      <c r="A78" s="27" t="s">
        <v>27</v>
      </c>
      <c r="B78" s="454" t="s">
        <v>85</v>
      </c>
      <c r="C78" s="344">
        <v>0.61</v>
      </c>
      <c r="D78" s="344">
        <v>0.6</v>
      </c>
      <c r="E78" s="85">
        <v>2022</v>
      </c>
      <c r="F78" s="86" t="str">
        <f t="shared" si="14"/>
        <v>£m 18/19</v>
      </c>
      <c r="G78" s="455" t="s">
        <v>27</v>
      </c>
      <c r="H78" s="435">
        <f t="shared" si="17"/>
        <v>2.0500000000000001E-2</v>
      </c>
      <c r="I78" s="344">
        <f t="shared" si="17"/>
        <v>1.9E-2</v>
      </c>
      <c r="J78" s="344">
        <f t="shared" si="17"/>
        <v>1.83E-2</v>
      </c>
      <c r="K78" s="344">
        <f t="shared" si="17"/>
        <v>1.78E-2</v>
      </c>
      <c r="L78" s="344">
        <f t="shared" si="17"/>
        <v>1.7500000000000002E-2</v>
      </c>
      <c r="M78" s="236"/>
      <c r="N78" s="436"/>
      <c r="O78" s="435">
        <f t="shared" si="18"/>
        <v>4.5181881000000007E-2</v>
      </c>
      <c r="P78" s="344">
        <f t="shared" si="18"/>
        <v>4.5568105000000005E-2</v>
      </c>
      <c r="Q78" s="344">
        <f t="shared" si="18"/>
        <v>4.5399131999999995E-2</v>
      </c>
      <c r="R78" s="344">
        <f t="shared" si="18"/>
        <v>4.564052200000001E-2</v>
      </c>
      <c r="S78" s="344">
        <f t="shared" si="18"/>
        <v>4.5833633999999998E-2</v>
      </c>
      <c r="T78" s="236"/>
      <c r="U78" s="436"/>
    </row>
    <row r="79" spans="1:21">
      <c r="A79" s="27" t="s">
        <v>27</v>
      </c>
      <c r="B79" s="454" t="s">
        <v>4</v>
      </c>
      <c r="C79" s="344">
        <v>0.61</v>
      </c>
      <c r="D79" s="344">
        <v>0.6</v>
      </c>
      <c r="E79" s="85">
        <v>2022</v>
      </c>
      <c r="F79" s="86" t="str">
        <f t="shared" si="14"/>
        <v>£m 18/19</v>
      </c>
      <c r="G79" s="455" t="s">
        <v>27</v>
      </c>
      <c r="H79" s="435">
        <f t="shared" si="17"/>
        <v>2.0500000000000001E-2</v>
      </c>
      <c r="I79" s="344">
        <f t="shared" si="17"/>
        <v>1.9E-2</v>
      </c>
      <c r="J79" s="344">
        <f t="shared" si="17"/>
        <v>1.83E-2</v>
      </c>
      <c r="K79" s="344">
        <f t="shared" si="17"/>
        <v>1.78E-2</v>
      </c>
      <c r="L79" s="344">
        <f t="shared" si="17"/>
        <v>1.7500000000000002E-2</v>
      </c>
      <c r="M79" s="236"/>
      <c r="N79" s="436"/>
      <c r="O79" s="435">
        <f t="shared" si="18"/>
        <v>4.5181881000000007E-2</v>
      </c>
      <c r="P79" s="344">
        <f t="shared" si="18"/>
        <v>4.5568105000000005E-2</v>
      </c>
      <c r="Q79" s="344">
        <f t="shared" si="18"/>
        <v>4.5399131999999995E-2</v>
      </c>
      <c r="R79" s="344">
        <f t="shared" si="18"/>
        <v>4.564052200000001E-2</v>
      </c>
      <c r="S79" s="344">
        <f t="shared" si="18"/>
        <v>4.5833633999999998E-2</v>
      </c>
      <c r="T79" s="236"/>
      <c r="U79" s="436"/>
    </row>
    <row r="80" spans="1:21">
      <c r="A80" s="27" t="s">
        <v>22</v>
      </c>
      <c r="B80" s="454" t="s">
        <v>86</v>
      </c>
      <c r="C80" s="344">
        <v>0.67</v>
      </c>
      <c r="D80" s="344">
        <v>0.55000000000000004</v>
      </c>
      <c r="E80" s="85">
        <v>2022</v>
      </c>
      <c r="F80" s="86" t="str">
        <f t="shared" si="14"/>
        <v>£m 18/19</v>
      </c>
      <c r="G80" s="455" t="s">
        <v>46</v>
      </c>
      <c r="H80" s="435">
        <f t="shared" si="17"/>
        <v>2.0500000000000001E-2</v>
      </c>
      <c r="I80" s="344">
        <f t="shared" si="17"/>
        <v>1.9E-2</v>
      </c>
      <c r="J80" s="344">
        <f t="shared" si="17"/>
        <v>1.83E-2</v>
      </c>
      <c r="K80" s="344">
        <f t="shared" si="17"/>
        <v>1.78E-2</v>
      </c>
      <c r="L80" s="344">
        <f t="shared" si="17"/>
        <v>1.7500000000000002E-2</v>
      </c>
      <c r="M80" s="236"/>
      <c r="N80" s="436"/>
      <c r="O80" s="435">
        <f t="shared" si="18"/>
        <v>4.2439449777777784E-2</v>
      </c>
      <c r="P80" s="344">
        <f t="shared" si="18"/>
        <v>4.2616093333333334E-2</v>
      </c>
      <c r="Q80" s="344">
        <f t="shared" si="18"/>
        <v>4.2388117333333329E-2</v>
      </c>
      <c r="R80" s="344">
        <f t="shared" si="18"/>
        <v>4.2547130666666676E-2</v>
      </c>
      <c r="S80" s="344">
        <f t="shared" si="18"/>
        <v>4.2685452444444452E-2</v>
      </c>
      <c r="T80" s="236"/>
      <c r="U80" s="436"/>
    </row>
    <row r="81" spans="1:21">
      <c r="A81" s="27" t="s">
        <v>28</v>
      </c>
      <c r="B81" s="454" t="s">
        <v>28</v>
      </c>
      <c r="C81" s="344">
        <v>1</v>
      </c>
      <c r="D81" s="344">
        <v>0.55000000000000004</v>
      </c>
      <c r="E81" s="85">
        <v>2022</v>
      </c>
      <c r="F81" s="86" t="str">
        <f t="shared" si="14"/>
        <v>£m 18/19</v>
      </c>
      <c r="G81" s="455" t="s">
        <v>28</v>
      </c>
      <c r="H81" s="435">
        <f t="shared" si="17"/>
        <v>-1E-4</v>
      </c>
      <c r="I81" s="344">
        <f t="shared" si="17"/>
        <v>9.2999999999999992E-3</v>
      </c>
      <c r="J81" s="344">
        <f t="shared" si="17"/>
        <v>1.06E-2</v>
      </c>
      <c r="K81" s="344">
        <f t="shared" si="17"/>
        <v>9.1999999999999998E-3</v>
      </c>
      <c r="L81" s="344">
        <f t="shared" si="17"/>
        <v>7.7999999999999996E-3</v>
      </c>
      <c r="M81" s="236"/>
      <c r="N81" s="436"/>
      <c r="O81" s="435">
        <f t="shared" si="18"/>
        <v>7.5718976000000007E-2</v>
      </c>
      <c r="P81" s="344">
        <f t="shared" si="18"/>
        <v>7.5510080000000007E-2</v>
      </c>
      <c r="Q81" s="344">
        <f t="shared" si="18"/>
        <v>7.5601472000000003E-2</v>
      </c>
      <c r="R81" s="344">
        <f t="shared" si="18"/>
        <v>7.5470912000000001E-2</v>
      </c>
      <c r="S81" s="344">
        <f t="shared" si="18"/>
        <v>7.5366464000000008E-2</v>
      </c>
      <c r="T81" s="236"/>
      <c r="U81" s="436"/>
    </row>
    <row r="82" spans="1:21">
      <c r="A82" s="27" t="s">
        <v>22</v>
      </c>
      <c r="B82" s="454" t="s">
        <v>87</v>
      </c>
      <c r="C82" s="344">
        <v>0.51</v>
      </c>
      <c r="D82" s="344">
        <v>0.55000000000000004</v>
      </c>
      <c r="E82" s="85">
        <v>2022</v>
      </c>
      <c r="F82" s="86" t="str">
        <f t="shared" si="14"/>
        <v>£m 18/19</v>
      </c>
      <c r="G82" s="455" t="s">
        <v>46</v>
      </c>
      <c r="H82" s="435">
        <f t="shared" si="17"/>
        <v>2.0500000000000001E-2</v>
      </c>
      <c r="I82" s="344">
        <f t="shared" si="17"/>
        <v>1.9E-2</v>
      </c>
      <c r="J82" s="344">
        <f t="shared" si="17"/>
        <v>1.83E-2</v>
      </c>
      <c r="K82" s="344">
        <f t="shared" si="17"/>
        <v>1.78E-2</v>
      </c>
      <c r="L82" s="344">
        <f t="shared" si="17"/>
        <v>1.7500000000000002E-2</v>
      </c>
      <c r="M82" s="236"/>
      <c r="N82" s="436"/>
      <c r="O82" s="435">
        <f t="shared" si="18"/>
        <v>4.2439449777777784E-2</v>
      </c>
      <c r="P82" s="344">
        <f t="shared" si="18"/>
        <v>4.2616093333333334E-2</v>
      </c>
      <c r="Q82" s="344">
        <f t="shared" si="18"/>
        <v>4.2388117333333329E-2</v>
      </c>
      <c r="R82" s="344">
        <f t="shared" si="18"/>
        <v>4.2547130666666676E-2</v>
      </c>
      <c r="S82" s="344">
        <f t="shared" si="18"/>
        <v>4.2685452444444452E-2</v>
      </c>
      <c r="T82" s="236"/>
      <c r="U82" s="436"/>
    </row>
    <row r="83" spans="1:21" ht="14" thickBot="1">
      <c r="A83" s="27" t="s">
        <v>22</v>
      </c>
      <c r="B83" s="456" t="s">
        <v>45</v>
      </c>
      <c r="C83" s="438">
        <v>0.64</v>
      </c>
      <c r="D83" s="438">
        <v>0.55000000000000004</v>
      </c>
      <c r="E83" s="457">
        <v>2022</v>
      </c>
      <c r="F83" s="458" t="str">
        <f t="shared" si="14"/>
        <v>£m 18/19</v>
      </c>
      <c r="G83" s="459" t="s">
        <v>45</v>
      </c>
      <c r="H83" s="437">
        <f t="shared" si="17"/>
        <v>1.8143044979056552E-2</v>
      </c>
      <c r="I83" s="438">
        <f t="shared" si="17"/>
        <v>1.5909426602326575E-2</v>
      </c>
      <c r="J83" s="438">
        <f t="shared" si="17"/>
        <v>1.5486013713550701E-2</v>
      </c>
      <c r="K83" s="438">
        <f t="shared" si="17"/>
        <v>1.4921786215027617E-2</v>
      </c>
      <c r="L83" s="438">
        <f t="shared" si="17"/>
        <v>1.4560675534238218E-2</v>
      </c>
      <c r="M83" s="439"/>
      <c r="N83" s="440"/>
      <c r="O83" s="437">
        <f t="shared" si="18"/>
        <v>4.2439449777777784E-2</v>
      </c>
      <c r="P83" s="438">
        <f t="shared" si="18"/>
        <v>4.2616093333333334E-2</v>
      </c>
      <c r="Q83" s="438">
        <f t="shared" si="18"/>
        <v>4.2388117333333329E-2</v>
      </c>
      <c r="R83" s="438">
        <f t="shared" si="18"/>
        <v>4.2547130666666676E-2</v>
      </c>
      <c r="S83" s="438">
        <f t="shared" si="18"/>
        <v>4.2685452444444452E-2</v>
      </c>
      <c r="T83" s="439"/>
      <c r="U83" s="440"/>
    </row>
    <row r="84" spans="1:21">
      <c r="I84" s="32"/>
    </row>
    <row r="85" spans="1:21">
      <c r="I85" s="32"/>
    </row>
    <row r="86" spans="1:21">
      <c r="I86" s="32"/>
    </row>
    <row r="87" spans="1:21">
      <c r="B87" s="6"/>
      <c r="D87" s="334"/>
      <c r="E87" s="334"/>
      <c r="F87" s="334"/>
      <c r="G87" s="334"/>
      <c r="H87" s="334"/>
      <c r="I87" s="334"/>
      <c r="J87" s="334"/>
    </row>
    <row r="89" spans="1:21" ht="15.5">
      <c r="B89" s="311" t="s">
        <v>88</v>
      </c>
      <c r="C89" s="36">
        <v>2022</v>
      </c>
      <c r="D89" s="37">
        <f t="shared" ref="D89:I89" si="19">C89+1</f>
        <v>2023</v>
      </c>
      <c r="E89" s="37">
        <f t="shared" si="19"/>
        <v>2024</v>
      </c>
      <c r="F89" s="37">
        <f t="shared" si="19"/>
        <v>2025</v>
      </c>
      <c r="G89" s="37">
        <f t="shared" si="19"/>
        <v>2026</v>
      </c>
      <c r="H89" s="37">
        <f t="shared" si="19"/>
        <v>2027</v>
      </c>
      <c r="I89" s="37">
        <f t="shared" si="19"/>
        <v>2028</v>
      </c>
    </row>
    <row r="90" spans="1:21">
      <c r="B90" s="312" t="s">
        <v>62</v>
      </c>
      <c r="C90" s="236"/>
      <c r="D90" s="236"/>
      <c r="E90" s="313">
        <v>0</v>
      </c>
      <c r="F90" s="313">
        <v>0</v>
      </c>
      <c r="G90" s="313">
        <v>0</v>
      </c>
      <c r="H90" s="313">
        <v>0</v>
      </c>
      <c r="I90" s="313">
        <v>0</v>
      </c>
    </row>
    <row r="91" spans="1:21">
      <c r="B91" s="312" t="s">
        <v>63</v>
      </c>
      <c r="C91" s="236"/>
      <c r="D91" s="236"/>
      <c r="E91" s="313">
        <v>0</v>
      </c>
      <c r="F91" s="313">
        <v>0</v>
      </c>
      <c r="G91" s="313">
        <v>0</v>
      </c>
      <c r="H91" s="313">
        <v>0</v>
      </c>
      <c r="I91" s="313">
        <v>0</v>
      </c>
    </row>
    <row r="92" spans="1:21">
      <c r="B92" s="312" t="s">
        <v>64</v>
      </c>
      <c r="C92" s="236"/>
      <c r="D92" s="236"/>
      <c r="E92" s="313">
        <v>0</v>
      </c>
      <c r="F92" s="313">
        <v>0</v>
      </c>
      <c r="G92" s="313">
        <v>0</v>
      </c>
      <c r="H92" s="313">
        <v>0</v>
      </c>
      <c r="I92" s="313">
        <v>0</v>
      </c>
      <c r="J92" s="246"/>
      <c r="K92" s="246"/>
      <c r="L92" s="246"/>
      <c r="M92" s="246"/>
      <c r="N92" s="246"/>
    </row>
    <row r="93" spans="1:21">
      <c r="B93" s="312" t="s">
        <v>65</v>
      </c>
      <c r="C93" s="236"/>
      <c r="D93" s="236"/>
      <c r="E93" s="313">
        <v>0</v>
      </c>
      <c r="F93" s="313">
        <v>0</v>
      </c>
      <c r="G93" s="313">
        <v>0</v>
      </c>
      <c r="H93" s="313">
        <v>0</v>
      </c>
      <c r="I93" s="313">
        <v>0</v>
      </c>
    </row>
    <row r="94" spans="1:21">
      <c r="B94" s="312" t="s">
        <v>66</v>
      </c>
      <c r="C94" s="236"/>
      <c r="D94" s="236"/>
      <c r="E94" s="313">
        <v>0</v>
      </c>
      <c r="F94" s="313">
        <v>0</v>
      </c>
      <c r="G94" s="313">
        <v>0</v>
      </c>
      <c r="H94" s="313">
        <v>0</v>
      </c>
      <c r="I94" s="313">
        <v>0</v>
      </c>
    </row>
    <row r="95" spans="1:21">
      <c r="B95" s="312" t="s">
        <v>67</v>
      </c>
      <c r="C95" s="236"/>
      <c r="D95" s="236"/>
      <c r="E95" s="313">
        <v>0</v>
      </c>
      <c r="F95" s="313">
        <v>0</v>
      </c>
      <c r="G95" s="313">
        <v>0</v>
      </c>
      <c r="H95" s="313">
        <v>0</v>
      </c>
      <c r="I95" s="313">
        <v>0</v>
      </c>
    </row>
    <row r="96" spans="1:21">
      <c r="B96" s="312" t="s">
        <v>68</v>
      </c>
      <c r="C96" s="236"/>
      <c r="D96" s="236"/>
      <c r="E96" s="313">
        <v>0</v>
      </c>
      <c r="F96" s="313">
        <v>0</v>
      </c>
      <c r="G96" s="313">
        <v>0</v>
      </c>
      <c r="H96" s="313">
        <v>0</v>
      </c>
      <c r="I96" s="313">
        <v>0</v>
      </c>
    </row>
    <row r="97" spans="2:9">
      <c r="B97" s="312" t="s">
        <v>69</v>
      </c>
      <c r="C97" s="236"/>
      <c r="D97" s="236"/>
      <c r="E97" s="313">
        <v>0</v>
      </c>
      <c r="F97" s="313">
        <v>0</v>
      </c>
      <c r="G97" s="313">
        <v>0</v>
      </c>
      <c r="H97" s="313">
        <v>0</v>
      </c>
      <c r="I97" s="313">
        <v>0</v>
      </c>
    </row>
    <row r="98" spans="2:9">
      <c r="B98" s="312" t="s">
        <v>70</v>
      </c>
      <c r="C98" s="236"/>
      <c r="D98" s="236"/>
      <c r="E98" s="313">
        <v>0</v>
      </c>
      <c r="F98" s="313">
        <v>0</v>
      </c>
      <c r="G98" s="313">
        <v>0</v>
      </c>
      <c r="H98" s="313">
        <v>0</v>
      </c>
      <c r="I98" s="313">
        <v>0</v>
      </c>
    </row>
    <row r="99" spans="2:9">
      <c r="B99" s="312" t="s">
        <v>71</v>
      </c>
      <c r="C99" s="236"/>
      <c r="D99" s="236"/>
      <c r="E99" s="313">
        <v>0</v>
      </c>
      <c r="F99" s="313">
        <v>0</v>
      </c>
      <c r="G99" s="313">
        <v>0</v>
      </c>
      <c r="H99" s="313">
        <v>0</v>
      </c>
      <c r="I99" s="313">
        <v>0</v>
      </c>
    </row>
    <row r="100" spans="2:9">
      <c r="B100" s="312" t="s">
        <v>72</v>
      </c>
      <c r="C100" s="236"/>
      <c r="D100" s="236"/>
      <c r="E100" s="313">
        <v>0</v>
      </c>
      <c r="F100" s="313">
        <v>0</v>
      </c>
      <c r="G100" s="313">
        <v>0</v>
      </c>
      <c r="H100" s="313">
        <v>0</v>
      </c>
      <c r="I100" s="313">
        <v>0</v>
      </c>
    </row>
    <row r="101" spans="2:9">
      <c r="B101" s="312" t="s">
        <v>73</v>
      </c>
      <c r="C101" s="236"/>
      <c r="D101" s="236"/>
      <c r="E101" s="313">
        <v>0</v>
      </c>
      <c r="F101" s="313">
        <v>0</v>
      </c>
      <c r="G101" s="313">
        <v>0</v>
      </c>
      <c r="H101" s="313">
        <v>0</v>
      </c>
      <c r="I101" s="313">
        <v>0</v>
      </c>
    </row>
    <row r="102" spans="2:9">
      <c r="B102" s="312" t="s">
        <v>74</v>
      </c>
      <c r="C102" s="236"/>
      <c r="D102" s="236"/>
      <c r="E102" s="313">
        <v>0</v>
      </c>
      <c r="F102" s="313">
        <v>0</v>
      </c>
      <c r="G102" s="313">
        <v>0</v>
      </c>
      <c r="H102" s="313">
        <v>0</v>
      </c>
      <c r="I102" s="313">
        <v>0</v>
      </c>
    </row>
    <row r="103" spans="2:9">
      <c r="B103" s="312" t="s">
        <v>75</v>
      </c>
      <c r="C103" s="236"/>
      <c r="D103" s="236"/>
      <c r="E103" s="313">
        <v>0</v>
      </c>
      <c r="F103" s="313">
        <v>0</v>
      </c>
      <c r="G103" s="313">
        <v>0</v>
      </c>
      <c r="H103" s="313">
        <v>0</v>
      </c>
      <c r="I103" s="313">
        <v>0</v>
      </c>
    </row>
    <row r="104" spans="2:9">
      <c r="B104" s="312" t="s">
        <v>76</v>
      </c>
      <c r="C104" s="314">
        <v>3.6510479549499562E-2</v>
      </c>
      <c r="D104" s="314">
        <v>3.6510479549499562E-2</v>
      </c>
      <c r="E104" s="314">
        <v>3.6510479549499562E-2</v>
      </c>
      <c r="F104" s="314">
        <v>3.6510479549499562E-2</v>
      </c>
      <c r="G104" s="314">
        <v>3.6510479549499562E-2</v>
      </c>
      <c r="H104" s="236"/>
      <c r="I104" s="236"/>
    </row>
    <row r="105" spans="2:9">
      <c r="B105" s="312" t="s">
        <v>77</v>
      </c>
      <c r="C105" s="314">
        <v>2.7462875901387192E-2</v>
      </c>
      <c r="D105" s="314">
        <v>2.7462875901387192E-2</v>
      </c>
      <c r="E105" s="314">
        <v>2.7462875901387192E-2</v>
      </c>
      <c r="F105" s="314">
        <v>2.7462875901387192E-2</v>
      </c>
      <c r="G105" s="314">
        <v>2.7462875901387192E-2</v>
      </c>
      <c r="H105" s="236"/>
      <c r="I105" s="236"/>
    </row>
    <row r="106" spans="2:9">
      <c r="B106" s="312" t="s">
        <v>78</v>
      </c>
      <c r="C106" s="314">
        <v>1.7082326729376533E-2</v>
      </c>
      <c r="D106" s="314">
        <v>1.7082326729376533E-2</v>
      </c>
      <c r="E106" s="314">
        <v>1.7082326729376533E-2</v>
      </c>
      <c r="F106" s="314">
        <v>1.7082326729376533E-2</v>
      </c>
      <c r="G106" s="314">
        <v>1.7082326729376533E-2</v>
      </c>
      <c r="H106" s="236"/>
      <c r="I106" s="236"/>
    </row>
    <row r="107" spans="2:9">
      <c r="B107" s="312" t="s">
        <v>79</v>
      </c>
      <c r="C107" s="314">
        <v>2.5713646682447938E-2</v>
      </c>
      <c r="D107" s="314">
        <v>2.5713646682447938E-2</v>
      </c>
      <c r="E107" s="314">
        <v>2.5713646682447938E-2</v>
      </c>
      <c r="F107" s="314">
        <v>2.5713646682447938E-2</v>
      </c>
      <c r="G107" s="314">
        <v>2.5713646682447938E-2</v>
      </c>
      <c r="H107" s="236"/>
      <c r="I107" s="236"/>
    </row>
    <row r="108" spans="2:9">
      <c r="B108" s="312" t="s">
        <v>80</v>
      </c>
      <c r="C108" s="314">
        <v>0.4206045538022069</v>
      </c>
      <c r="D108" s="314">
        <v>0.4206045538022069</v>
      </c>
      <c r="E108" s="314">
        <v>0.4206045538022069</v>
      </c>
      <c r="F108" s="314">
        <v>0.4206045538022069</v>
      </c>
      <c r="G108" s="314">
        <v>0.4206045538022069</v>
      </c>
      <c r="H108" s="236"/>
      <c r="I108" s="236"/>
    </row>
    <row r="109" spans="2:9">
      <c r="B109" s="312" t="s">
        <v>81</v>
      </c>
      <c r="C109" s="313">
        <v>0</v>
      </c>
      <c r="D109" s="313">
        <v>0</v>
      </c>
      <c r="E109" s="313">
        <v>0</v>
      </c>
      <c r="F109" s="313">
        <v>0</v>
      </c>
      <c r="G109" s="313">
        <v>0</v>
      </c>
      <c r="H109" s="236"/>
      <c r="I109" s="236"/>
    </row>
    <row r="110" spans="2:9">
      <c r="B110" s="312" t="s">
        <v>82</v>
      </c>
      <c r="C110" s="313">
        <v>0</v>
      </c>
      <c r="D110" s="313">
        <v>0</v>
      </c>
      <c r="E110" s="313">
        <v>0</v>
      </c>
      <c r="F110" s="313">
        <v>0</v>
      </c>
      <c r="G110" s="313">
        <v>0</v>
      </c>
      <c r="H110" s="236"/>
      <c r="I110" s="236"/>
    </row>
    <row r="111" spans="2:9">
      <c r="B111" s="312" t="s">
        <v>83</v>
      </c>
      <c r="C111" s="313">
        <v>0</v>
      </c>
      <c r="D111" s="313">
        <v>0</v>
      </c>
      <c r="E111" s="313">
        <v>0</v>
      </c>
      <c r="F111" s="313">
        <v>0</v>
      </c>
      <c r="G111" s="313">
        <v>0</v>
      </c>
      <c r="H111" s="236"/>
      <c r="I111" s="236"/>
    </row>
    <row r="112" spans="2:9">
      <c r="B112" s="312" t="s">
        <v>84</v>
      </c>
      <c r="C112" s="315">
        <v>-4.3390000000000004</v>
      </c>
      <c r="D112" s="315">
        <v>-4.3390000000000004</v>
      </c>
      <c r="E112" s="315">
        <v>-4.3390000000000004</v>
      </c>
      <c r="F112" s="315">
        <v>-4.3390000000000004</v>
      </c>
      <c r="G112" s="315">
        <v>-4.3390000000000004</v>
      </c>
      <c r="H112" s="236"/>
      <c r="I112" s="236"/>
    </row>
    <row r="113" spans="1:14">
      <c r="B113" s="312" t="s">
        <v>85</v>
      </c>
      <c r="C113" s="313">
        <v>0</v>
      </c>
      <c r="D113" s="313">
        <v>0</v>
      </c>
      <c r="E113" s="313">
        <v>0</v>
      </c>
      <c r="F113" s="313">
        <v>0</v>
      </c>
      <c r="G113" s="313">
        <v>0</v>
      </c>
      <c r="H113" s="236"/>
      <c r="I113" s="236"/>
    </row>
    <row r="114" spans="1:14">
      <c r="B114" s="312" t="s">
        <v>4</v>
      </c>
      <c r="C114" s="315">
        <v>-4.3390000000000004</v>
      </c>
      <c r="D114" s="315">
        <v>-4.3390000000000004</v>
      </c>
      <c r="E114" s="315">
        <v>-4.3390000000000004</v>
      </c>
      <c r="F114" s="315">
        <v>-4.3390000000000004</v>
      </c>
      <c r="G114" s="315">
        <v>-4.3390000000000004</v>
      </c>
      <c r="H114" s="236"/>
      <c r="I114" s="236"/>
    </row>
    <row r="115" spans="1:14">
      <c r="B115" s="312" t="s">
        <v>86</v>
      </c>
      <c r="C115" s="318">
        <v>-13</v>
      </c>
      <c r="D115" s="318">
        <v>-13</v>
      </c>
      <c r="E115" s="318">
        <v>-13</v>
      </c>
      <c r="F115" s="318">
        <v>-13</v>
      </c>
      <c r="G115" s="318">
        <v>-13</v>
      </c>
      <c r="H115" s="236"/>
      <c r="I115" s="236"/>
    </row>
    <row r="116" spans="1:14">
      <c r="B116" s="312" t="s">
        <v>28</v>
      </c>
      <c r="C116" s="313">
        <v>0</v>
      </c>
      <c r="D116" s="313">
        <v>0</v>
      </c>
      <c r="E116" s="313">
        <v>0</v>
      </c>
      <c r="F116" s="313">
        <v>0</v>
      </c>
      <c r="G116" s="313">
        <v>0</v>
      </c>
      <c r="H116" s="236"/>
      <c r="I116" s="236"/>
    </row>
    <row r="117" spans="1:14">
      <c r="B117" s="312" t="s">
        <v>87</v>
      </c>
      <c r="C117" s="314">
        <v>1</v>
      </c>
      <c r="D117" s="314">
        <v>1</v>
      </c>
      <c r="E117" s="314">
        <v>1</v>
      </c>
      <c r="F117" s="314">
        <v>1</v>
      </c>
      <c r="G117" s="314">
        <v>1</v>
      </c>
      <c r="H117" s="236"/>
      <c r="I117" s="236"/>
    </row>
    <row r="118" spans="1:14">
      <c r="B118" s="316" t="s">
        <v>45</v>
      </c>
      <c r="C118" s="314">
        <v>4.3620000000000001</v>
      </c>
      <c r="D118" s="314">
        <v>4.3620000000000001</v>
      </c>
      <c r="E118" s="317">
        <v>4.3620000000000001</v>
      </c>
      <c r="F118" s="317">
        <v>4.3620000000000001</v>
      </c>
      <c r="G118" s="317">
        <v>4.3620000000000001</v>
      </c>
      <c r="H118" s="236"/>
      <c r="I118" s="236"/>
    </row>
    <row r="119" spans="1:14">
      <c r="B119" s="52"/>
    </row>
    <row r="120" spans="1:14">
      <c r="B120" s="378" t="str">
        <f>LEFT('RFPR cover'!C8,2)</f>
        <v>GT</v>
      </c>
      <c r="C120" s="518"/>
      <c r="D120" s="518"/>
      <c r="E120" s="518"/>
      <c r="F120" s="518"/>
      <c r="G120" s="518"/>
      <c r="H120" s="518"/>
      <c r="I120" s="518"/>
      <c r="J120" s="518"/>
      <c r="K120" s="518"/>
      <c r="L120" s="379"/>
    </row>
    <row r="121" spans="1:14">
      <c r="A121" s="56"/>
      <c r="B121" s="216" t="s">
        <v>89</v>
      </c>
      <c r="C121" s="217"/>
      <c r="D121" s="217"/>
      <c r="E121" s="217"/>
      <c r="F121" s="215"/>
      <c r="G121" s="215"/>
      <c r="H121" s="215"/>
      <c r="I121" s="215"/>
      <c r="J121" s="215"/>
      <c r="K121" s="215"/>
      <c r="L121" s="215"/>
      <c r="M121" s="215"/>
      <c r="N121" s="215"/>
    </row>
    <row r="122" spans="1:14">
      <c r="A122" s="56"/>
      <c r="B122" s="244"/>
      <c r="C122" s="245"/>
      <c r="D122" s="245"/>
      <c r="E122" s="245"/>
      <c r="F122" s="246"/>
      <c r="G122" s="246"/>
      <c r="H122" s="246"/>
      <c r="I122" s="246"/>
    </row>
    <row r="123" spans="1:14">
      <c r="A123" s="55"/>
      <c r="B123" s="519" t="s">
        <v>90</v>
      </c>
      <c r="C123" s="57"/>
      <c r="D123" s="57"/>
      <c r="E123" s="679" t="b">
        <f>OR((LEFT('RFPR cover'!$C$8,2)=Data!G123),'RFPR cover'!$C$7=Data!G123)</f>
        <v>0</v>
      </c>
      <c r="F123" s="560">
        <f t="shared" ref="F123:F126" si="20">IF(E123,1,0)</f>
        <v>0</v>
      </c>
      <c r="G123" s="680" t="str">
        <f>B132</f>
        <v>ED</v>
      </c>
    </row>
    <row r="124" spans="1:14" ht="16.5" customHeight="1">
      <c r="A124" s="55"/>
      <c r="B124" s="257" t="str">
        <f t="shared" ref="B124:B129" si="21">IF(SUM($F$123:$F$129)=0,"",CHOOSE(MATCH(TRUE,$E$123:$E$129,0),B133,B143,B153,B163,E163,B173,E173)&amp;"")</f>
        <v>Customer satisfaction survey ODI</v>
      </c>
      <c r="C124" s="57"/>
      <c r="D124" s="57"/>
      <c r="E124" s="561" t="b">
        <f>OR((LEFT('RFPR cover'!$C$8,2)=Data!G124),'RFPR cover'!$C$7=Data!G124)</f>
        <v>0</v>
      </c>
      <c r="F124" s="562">
        <f t="shared" si="20"/>
        <v>0</v>
      </c>
      <c r="G124" s="563" t="str">
        <f>B142</f>
        <v>GD</v>
      </c>
    </row>
    <row r="125" spans="1:14">
      <c r="A125" s="55"/>
      <c r="B125" s="257" t="str">
        <f t="shared" si="21"/>
        <v>Environmental scorecard ODI</v>
      </c>
      <c r="C125" s="57"/>
      <c r="D125" s="57"/>
      <c r="E125" s="561" t="b">
        <f>OR((LEFT('RFPR cover'!$C$8,2)=Data!G125),'RFPR cover'!$C$7=Data!G125)</f>
        <v>1</v>
      </c>
      <c r="F125" s="562">
        <f t="shared" si="20"/>
        <v>1</v>
      </c>
      <c r="G125" s="564" t="str">
        <f>B152</f>
        <v>NGGT (TO)</v>
      </c>
    </row>
    <row r="126" spans="1:14">
      <c r="A126" s="55"/>
      <c r="B126" s="257" t="str">
        <f t="shared" si="21"/>
        <v/>
      </c>
      <c r="C126" s="57"/>
      <c r="D126" s="57"/>
      <c r="E126" s="561" t="b">
        <f>OR((LEFT('RFPR cover'!$C$8,2)=Data!G126),'RFPR cover'!$C$7=Data!G126)</f>
        <v>0</v>
      </c>
      <c r="F126" s="562">
        <f t="shared" si="20"/>
        <v>0</v>
      </c>
      <c r="G126" s="564" t="str">
        <f>B162</f>
        <v>NGET (TO)</v>
      </c>
    </row>
    <row r="127" spans="1:14">
      <c r="A127" s="55"/>
      <c r="B127" s="257" t="str">
        <f t="shared" si="21"/>
        <v/>
      </c>
      <c r="C127" s="57"/>
      <c r="D127" s="57"/>
      <c r="E127" s="561" t="b">
        <f>OR((LEFT('RFPR cover'!$C$8,2)=Data!G127),'RFPR cover'!$C$7=Data!G127)</f>
        <v>0</v>
      </c>
      <c r="F127" s="562">
        <f t="shared" ref="F127" si="22">IF(E127,1,0)</f>
        <v>0</v>
      </c>
      <c r="G127" s="564" t="s">
        <v>28</v>
      </c>
    </row>
    <row r="128" spans="1:14">
      <c r="A128" s="55"/>
      <c r="B128" s="257" t="str">
        <f t="shared" si="21"/>
        <v/>
      </c>
      <c r="C128" s="57"/>
      <c r="D128" s="57"/>
      <c r="E128" s="561" t="b">
        <f>OR((LEFT('RFPR cover'!$C$8,2)=Data!G128),'RFPR cover'!$C$7=Data!G128)</f>
        <v>0</v>
      </c>
      <c r="F128" s="562">
        <f>IF(E128,1,0)</f>
        <v>0</v>
      </c>
      <c r="G128" s="564" t="str">
        <f>B172</f>
        <v>SPT</v>
      </c>
    </row>
    <row r="129" spans="1:7">
      <c r="A129" s="55"/>
      <c r="B129" s="257" t="str">
        <f t="shared" si="21"/>
        <v/>
      </c>
      <c r="C129" s="57"/>
      <c r="D129" s="57"/>
      <c r="E129" s="565" t="b">
        <f>OR((LEFT('RFPR cover'!$C$8,2)=Data!G129),'RFPR cover'!$C$7=Data!G129)</f>
        <v>0</v>
      </c>
      <c r="F129" s="566">
        <f>IF(E129,1,0)</f>
        <v>0</v>
      </c>
      <c r="G129" s="567" t="s">
        <v>45</v>
      </c>
    </row>
    <row r="130" spans="1:7">
      <c r="A130" s="55"/>
      <c r="B130" s="257" t="str">
        <f>IF(SUM($F$123:$F$129)=0,"",CHOOSE(MATCH(TRUE,$E$123:$E$129,0),B139,B149,B159,B169,B179,E179)&amp;"")</f>
        <v/>
      </c>
      <c r="C130" s="57"/>
      <c r="D130" s="57"/>
    </row>
    <row r="131" spans="1:7">
      <c r="A131" s="55"/>
      <c r="B131" s="57"/>
      <c r="C131" s="57"/>
      <c r="D131" s="57"/>
      <c r="E131" s="26"/>
      <c r="F131" s="247"/>
    </row>
    <row r="132" spans="1:7">
      <c r="A132" s="55"/>
      <c r="B132" s="1014" t="s">
        <v>19</v>
      </c>
      <c r="C132" s="1015"/>
      <c r="D132" s="57"/>
      <c r="E132" s="57"/>
    </row>
    <row r="133" spans="1:7">
      <c r="A133" s="55"/>
      <c r="B133" s="1018" t="s">
        <v>91</v>
      </c>
      <c r="C133" s="1019"/>
      <c r="D133" s="57"/>
      <c r="E133" s="57"/>
    </row>
    <row r="134" spans="1:7">
      <c r="A134" s="55"/>
      <c r="B134" s="1016" t="s">
        <v>92</v>
      </c>
      <c r="C134" s="1017"/>
      <c r="D134" s="57"/>
      <c r="E134" s="57"/>
    </row>
    <row r="135" spans="1:7">
      <c r="A135" s="55"/>
      <c r="B135" s="1016" t="s">
        <v>93</v>
      </c>
      <c r="C135" s="1017"/>
      <c r="D135" s="57"/>
      <c r="E135" s="57"/>
    </row>
    <row r="136" spans="1:7">
      <c r="A136" s="55"/>
      <c r="B136" s="1016" t="s">
        <v>94</v>
      </c>
      <c r="C136" s="1017"/>
      <c r="D136" s="57"/>
      <c r="E136" s="57"/>
    </row>
    <row r="137" spans="1:7">
      <c r="A137" s="55"/>
      <c r="B137" s="1016" t="s">
        <v>95</v>
      </c>
      <c r="C137" s="1017"/>
      <c r="D137" s="57"/>
      <c r="E137" s="57"/>
    </row>
    <row r="138" spans="1:7">
      <c r="A138" s="55"/>
      <c r="B138" s="1016"/>
      <c r="C138" s="1017"/>
      <c r="D138" s="57"/>
      <c r="E138" s="57"/>
    </row>
    <row r="139" spans="1:7">
      <c r="A139" s="55"/>
      <c r="B139" s="1020"/>
      <c r="C139" s="1021"/>
      <c r="D139" s="57"/>
      <c r="E139" s="57"/>
    </row>
    <row r="140" spans="1:7">
      <c r="A140" s="55"/>
      <c r="B140" s="57"/>
      <c r="C140" s="57"/>
      <c r="D140" s="57"/>
      <c r="E140" s="57"/>
    </row>
    <row r="141" spans="1:7">
      <c r="A141" s="55"/>
      <c r="B141" s="57"/>
      <c r="C141" s="57"/>
      <c r="D141" s="57"/>
      <c r="E141" s="57"/>
    </row>
    <row r="142" spans="1:7">
      <c r="A142" s="55"/>
      <c r="B142" s="1014" t="s">
        <v>25</v>
      </c>
      <c r="C142" s="1015"/>
      <c r="D142" s="57"/>
      <c r="E142" s="57"/>
    </row>
    <row r="143" spans="1:7">
      <c r="A143" s="55"/>
      <c r="B143" s="1018" t="s">
        <v>96</v>
      </c>
      <c r="C143" s="1019"/>
      <c r="E143" s="57"/>
    </row>
    <row r="144" spans="1:7">
      <c r="A144" s="55"/>
      <c r="B144" s="1016" t="s">
        <v>97</v>
      </c>
      <c r="C144" s="1017"/>
      <c r="D144" s="57"/>
      <c r="E144" s="57"/>
    </row>
    <row r="145" spans="1:9" ht="25.5" customHeight="1">
      <c r="A145" s="55"/>
      <c r="B145" s="1016" t="s">
        <v>98</v>
      </c>
      <c r="C145" s="1017"/>
      <c r="D145" s="57"/>
      <c r="E145" s="57"/>
    </row>
    <row r="146" spans="1:9" ht="25.5" customHeight="1">
      <c r="A146" s="55"/>
      <c r="B146" s="1016" t="s">
        <v>99</v>
      </c>
      <c r="C146" s="1017"/>
      <c r="D146" s="57"/>
      <c r="E146" s="57"/>
    </row>
    <row r="147" spans="1:9" ht="14.25" customHeight="1">
      <c r="A147" s="55"/>
      <c r="B147" s="1016" t="s">
        <v>100</v>
      </c>
      <c r="C147" s="1017"/>
      <c r="D147" s="57"/>
      <c r="E147" s="57"/>
    </row>
    <row r="148" spans="1:9" ht="25.5" customHeight="1">
      <c r="A148" s="55"/>
      <c r="B148" s="1016" t="s">
        <v>101</v>
      </c>
      <c r="C148" s="1017"/>
      <c r="D148" s="57"/>
      <c r="E148" s="57"/>
    </row>
    <row r="149" spans="1:9">
      <c r="A149" s="55"/>
      <c r="B149" s="1020"/>
      <c r="C149" s="1021"/>
      <c r="D149" s="57"/>
      <c r="E149" s="57"/>
    </row>
    <row r="150" spans="1:9">
      <c r="A150" s="55"/>
      <c r="B150" s="57"/>
      <c r="C150" s="57"/>
      <c r="D150" s="57"/>
      <c r="E150" s="57"/>
    </row>
    <row r="151" spans="1:9">
      <c r="A151" s="55"/>
      <c r="B151" s="57"/>
      <c r="C151" s="57"/>
      <c r="D151" s="57"/>
      <c r="E151" s="57"/>
    </row>
    <row r="152" spans="1:9">
      <c r="A152" s="55"/>
      <c r="B152" s="1004" t="s">
        <v>84</v>
      </c>
      <c r="C152" s="1005"/>
      <c r="D152" s="57"/>
      <c r="E152" s="335"/>
      <c r="F152" s="31"/>
      <c r="G152" s="31"/>
      <c r="H152" s="31"/>
      <c r="I152" s="31"/>
    </row>
    <row r="153" spans="1:9">
      <c r="A153" s="55"/>
      <c r="B153" s="1018" t="s">
        <v>102</v>
      </c>
      <c r="C153" s="1019"/>
      <c r="E153" s="243"/>
      <c r="F153" s="243"/>
      <c r="G153" s="243"/>
      <c r="H153" s="243"/>
      <c r="I153" s="243"/>
    </row>
    <row r="154" spans="1:9">
      <c r="A154" s="55"/>
      <c r="B154" s="1016" t="s">
        <v>103</v>
      </c>
      <c r="C154" s="1017"/>
      <c r="E154" s="243"/>
      <c r="F154" s="243"/>
      <c r="G154" s="243"/>
      <c r="H154" s="243"/>
      <c r="I154" s="243"/>
    </row>
    <row r="155" spans="1:9">
      <c r="A155" s="55"/>
      <c r="B155" s="1016"/>
      <c r="C155" s="1017"/>
      <c r="D155" s="57"/>
      <c r="E155" s="243"/>
      <c r="F155" s="243"/>
      <c r="G155" s="243"/>
      <c r="H155" s="243"/>
      <c r="I155" s="243"/>
    </row>
    <row r="156" spans="1:9">
      <c r="A156" s="55"/>
      <c r="B156" s="1016"/>
      <c r="C156" s="1017"/>
      <c r="D156" s="57"/>
      <c r="E156" s="243"/>
      <c r="F156" s="243"/>
      <c r="G156" s="243"/>
      <c r="H156" s="243"/>
      <c r="I156" s="243"/>
    </row>
    <row r="157" spans="1:9">
      <c r="A157" s="55"/>
      <c r="B157" s="1016"/>
      <c r="C157" s="1017"/>
      <c r="D157" s="57"/>
      <c r="E157" s="243"/>
      <c r="F157" s="243"/>
      <c r="G157" s="243"/>
      <c r="H157" s="243"/>
      <c r="I157" s="243"/>
    </row>
    <row r="158" spans="1:9">
      <c r="A158" s="55"/>
      <c r="B158" s="1016"/>
      <c r="C158" s="1017"/>
      <c r="D158" s="57"/>
      <c r="E158" s="243"/>
      <c r="F158" s="243"/>
      <c r="G158" s="243"/>
      <c r="H158" s="243"/>
      <c r="I158" s="243"/>
    </row>
    <row r="159" spans="1:9" ht="12" customHeight="1">
      <c r="A159" s="55"/>
      <c r="B159" s="1020"/>
      <c r="C159" s="1021"/>
      <c r="D159" s="57"/>
      <c r="E159" s="243"/>
      <c r="F159" s="243"/>
      <c r="G159" s="243"/>
      <c r="H159" s="243"/>
      <c r="I159" s="243"/>
    </row>
    <row r="160" spans="1:9">
      <c r="A160" s="55"/>
      <c r="B160" s="57"/>
      <c r="C160" s="57"/>
      <c r="D160" s="57"/>
      <c r="E160" s="57"/>
    </row>
    <row r="161" spans="1:9">
      <c r="A161" s="55"/>
      <c r="B161" s="57"/>
      <c r="C161" s="57"/>
      <c r="D161" s="57"/>
      <c r="E161" s="57"/>
    </row>
    <row r="162" spans="1:9">
      <c r="A162" s="55"/>
      <c r="B162" s="1004" t="s">
        <v>86</v>
      </c>
      <c r="C162" s="1005"/>
      <c r="D162" s="57"/>
      <c r="E162" s="1004" t="s">
        <v>28</v>
      </c>
      <c r="F162" s="1004"/>
      <c r="G162" s="1004"/>
      <c r="H162" s="1005"/>
      <c r="I162" s="31"/>
    </row>
    <row r="163" spans="1:9" ht="13.5" customHeight="1">
      <c r="A163" s="55"/>
      <c r="B163" s="1018" t="s">
        <v>104</v>
      </c>
      <c r="C163" s="1019"/>
      <c r="E163" s="1014" t="s">
        <v>105</v>
      </c>
      <c r="F163" s="1023"/>
      <c r="G163" s="1023"/>
      <c r="H163" s="1024"/>
      <c r="I163" s="243"/>
    </row>
    <row r="164" spans="1:9" ht="12.75" customHeight="1">
      <c r="A164" s="55"/>
      <c r="B164" s="1016" t="s">
        <v>106</v>
      </c>
      <c r="C164" s="1017"/>
      <c r="E164" s="1025"/>
      <c r="F164" s="1025"/>
      <c r="G164" s="1025"/>
      <c r="H164" s="1026"/>
      <c r="I164" s="243"/>
    </row>
    <row r="165" spans="1:9" ht="13.5" customHeight="1">
      <c r="A165" s="55"/>
      <c r="B165" s="1016" t="s">
        <v>107</v>
      </c>
      <c r="C165" s="1017"/>
      <c r="E165" s="989"/>
      <c r="F165" s="989"/>
      <c r="G165" s="989"/>
      <c r="H165" s="990"/>
      <c r="I165" s="243"/>
    </row>
    <row r="166" spans="1:9" ht="12.75" customHeight="1">
      <c r="A166" s="55"/>
      <c r="B166" s="1016" t="s">
        <v>108</v>
      </c>
      <c r="C166" s="1017"/>
      <c r="E166" s="989"/>
      <c r="F166" s="989"/>
      <c r="G166" s="989"/>
      <c r="H166" s="990"/>
      <c r="I166" s="243"/>
    </row>
    <row r="167" spans="1:9" ht="13.5" customHeight="1">
      <c r="A167" s="55"/>
      <c r="B167" s="1016" t="s">
        <v>109</v>
      </c>
      <c r="C167" s="1017"/>
      <c r="E167" s="989"/>
      <c r="F167" s="989"/>
      <c r="G167" s="989"/>
      <c r="H167" s="990"/>
      <c r="I167" s="243"/>
    </row>
    <row r="168" spans="1:9" ht="13.5" customHeight="1">
      <c r="A168" s="55"/>
      <c r="B168" s="1016" t="s">
        <v>110</v>
      </c>
      <c r="C168" s="1017"/>
      <c r="E168" s="989"/>
      <c r="F168" s="989"/>
      <c r="G168" s="989"/>
      <c r="H168" s="990"/>
      <c r="I168" s="243"/>
    </row>
    <row r="169" spans="1:9">
      <c r="A169" s="55"/>
      <c r="B169" s="1020"/>
      <c r="C169" s="1021"/>
      <c r="D169" s="57"/>
      <c r="E169" s="1022"/>
      <c r="F169" s="1022"/>
      <c r="G169" s="243"/>
      <c r="H169" s="243"/>
      <c r="I169" s="243"/>
    </row>
    <row r="170" spans="1:9" ht="12.75" customHeight="1">
      <c r="A170" s="55"/>
      <c r="B170" s="55"/>
      <c r="C170" s="55"/>
      <c r="D170" s="57"/>
      <c r="E170" s="243"/>
      <c r="F170" s="243"/>
      <c r="G170" s="243"/>
      <c r="H170" s="243"/>
      <c r="I170" s="243"/>
    </row>
    <row r="171" spans="1:9" ht="12.75" customHeight="1">
      <c r="A171" s="55"/>
      <c r="B171" s="55"/>
      <c r="C171" s="55"/>
      <c r="D171" s="57"/>
      <c r="E171" s="243"/>
      <c r="F171" s="243"/>
      <c r="G171" s="243"/>
      <c r="H171" s="243"/>
      <c r="I171" s="243"/>
    </row>
    <row r="172" spans="1:9" ht="12.75" customHeight="1">
      <c r="A172" s="55"/>
      <c r="B172" s="1004" t="s">
        <v>87</v>
      </c>
      <c r="C172" s="1005"/>
      <c r="D172" s="57"/>
      <c r="E172" s="1004" t="s">
        <v>45</v>
      </c>
      <c r="F172" s="1004"/>
      <c r="G172" s="1004"/>
      <c r="H172" s="1005"/>
      <c r="I172" s="338"/>
    </row>
    <row r="173" spans="1:9" ht="12.75" customHeight="1">
      <c r="A173" s="55"/>
      <c r="B173" s="1002" t="s">
        <v>104</v>
      </c>
      <c r="C173" s="1003"/>
      <c r="E173" s="989" t="s">
        <v>104</v>
      </c>
      <c r="F173" s="989"/>
      <c r="G173" s="989"/>
      <c r="H173" s="990"/>
      <c r="I173" s="243"/>
    </row>
    <row r="174" spans="1:9" ht="12.75" customHeight="1">
      <c r="A174" s="55"/>
      <c r="B174" s="989" t="s">
        <v>106</v>
      </c>
      <c r="C174" s="990"/>
      <c r="E174" s="989" t="s">
        <v>106</v>
      </c>
      <c r="F174" s="989"/>
      <c r="G174" s="989"/>
      <c r="H174" s="990"/>
      <c r="I174" s="243"/>
    </row>
    <row r="175" spans="1:9" ht="12.75" customHeight="1">
      <c r="A175" s="55"/>
      <c r="B175" s="989" t="s">
        <v>107</v>
      </c>
      <c r="C175" s="990"/>
      <c r="E175" s="989" t="s">
        <v>107</v>
      </c>
      <c r="F175" s="989"/>
      <c r="G175" s="989"/>
      <c r="H175" s="990"/>
      <c r="I175" s="243"/>
    </row>
    <row r="176" spans="1:9" ht="12.75" customHeight="1">
      <c r="A176" s="55"/>
      <c r="B176" s="989" t="s">
        <v>108</v>
      </c>
      <c r="C176" s="990"/>
      <c r="E176" s="989" t="s">
        <v>108</v>
      </c>
      <c r="F176" s="989"/>
      <c r="G176" s="989"/>
      <c r="H176" s="990"/>
      <c r="I176" s="243"/>
    </row>
    <row r="177" spans="1:13" ht="12.75" customHeight="1">
      <c r="A177" s="55"/>
      <c r="B177" s="989" t="s">
        <v>109</v>
      </c>
      <c r="C177" s="990"/>
      <c r="E177" s="989" t="s">
        <v>109</v>
      </c>
      <c r="F177" s="989"/>
      <c r="G177" s="989"/>
      <c r="H177" s="990"/>
      <c r="I177" s="243"/>
    </row>
    <row r="178" spans="1:13" ht="12.75" customHeight="1">
      <c r="A178" s="55"/>
      <c r="B178" s="989" t="s">
        <v>110</v>
      </c>
      <c r="C178" s="990"/>
      <c r="E178" s="989" t="s">
        <v>110</v>
      </c>
      <c r="F178" s="989"/>
      <c r="G178" s="989"/>
      <c r="H178" s="990"/>
      <c r="I178" s="243"/>
    </row>
    <row r="179" spans="1:13">
      <c r="A179" s="55"/>
      <c r="B179" s="991"/>
      <c r="C179" s="992"/>
      <c r="D179" s="57"/>
      <c r="E179" s="991"/>
      <c r="F179" s="991"/>
      <c r="G179" s="991"/>
      <c r="H179" s="992"/>
      <c r="I179" s="243"/>
    </row>
    <row r="180" spans="1:13" ht="12.4" customHeight="1">
      <c r="A180" s="55"/>
      <c r="D180" s="57"/>
      <c r="E180" s="57"/>
    </row>
    <row r="181" spans="1:13" ht="12.4" customHeight="1">
      <c r="A181" s="55"/>
      <c r="B181" s="216" t="s">
        <v>111</v>
      </c>
      <c r="C181" s="217"/>
      <c r="D181" s="217"/>
      <c r="E181" s="217"/>
      <c r="F181" s="215"/>
      <c r="G181" s="215"/>
      <c r="H181" s="215"/>
      <c r="I181" s="215"/>
      <c r="J181" s="215"/>
      <c r="K181" s="215"/>
      <c r="L181" s="215"/>
      <c r="M181" s="215"/>
    </row>
    <row r="182" spans="1:13" ht="12.4" customHeight="1">
      <c r="A182" s="55"/>
      <c r="B182" s="244"/>
      <c r="C182" s="245"/>
      <c r="D182" s="245"/>
      <c r="E182" s="245"/>
      <c r="F182" s="246"/>
      <c r="G182" s="246"/>
      <c r="H182" s="246"/>
      <c r="I182" s="246"/>
    </row>
    <row r="183" spans="1:13" ht="12.4" customHeight="1">
      <c r="A183" s="55"/>
      <c r="B183" s="519" t="s">
        <v>112</v>
      </c>
      <c r="C183" s="57"/>
      <c r="D183" s="57"/>
      <c r="E183" s="679" t="b">
        <f>OR((LEFT('RFPR cover'!$C$8,2)=Data!F183),'RFPR cover'!$C$7=Data!F183)</f>
        <v>0</v>
      </c>
      <c r="F183" s="680" t="str">
        <f>B194</f>
        <v>ED</v>
      </c>
    </row>
    <row r="184" spans="1:13" ht="19.5" customHeight="1">
      <c r="A184" s="55"/>
      <c r="B184" s="257" t="str">
        <f>CHOOSE(MATCH(TRUE,$E$183:$E$191,0),B195,B206,B217,E217,B228,E228,B239,E239,B250)&amp;""</f>
        <v>Network Innovation Allowance</v>
      </c>
      <c r="C184" s="57"/>
      <c r="D184" s="57"/>
      <c r="E184" s="561" t="b">
        <f>OR((LEFT('RFPR cover'!$C$8,2)=Data!F184),'RFPR cover'!$C$7=Data!F184)</f>
        <v>0</v>
      </c>
      <c r="F184" s="563" t="str">
        <f>B205</f>
        <v>GD</v>
      </c>
    </row>
    <row r="185" spans="1:13" ht="22.5" customHeight="1">
      <c r="A185" s="55"/>
      <c r="B185" s="257" t="str">
        <f t="shared" ref="B185:B191" si="23">CHOOSE(MATCH(TRUE,$E$183:$E$191,0),B196,B207,B218,E218,B229,E229,B240,E240,B251)&amp;""</f>
        <v>Carry Over RIIO-1 Network Innovation Allowance</v>
      </c>
      <c r="C185" s="57"/>
      <c r="D185" s="57"/>
      <c r="E185" s="561" t="b">
        <f>OR((LEFT('RFPR cover'!$C$8,2)=Data!F185),'RFPR cover'!$C$7=Data!F185)</f>
        <v>1</v>
      </c>
      <c r="F185" s="564" t="str">
        <f>B216</f>
        <v>NGGT (TO)</v>
      </c>
    </row>
    <row r="186" spans="1:13" ht="19.5" customHeight="1">
      <c r="A186" s="55"/>
      <c r="B186" s="257" t="str">
        <f t="shared" si="23"/>
        <v>Strategic Innovation Fund</v>
      </c>
      <c r="C186" s="57"/>
      <c r="D186" s="57"/>
      <c r="E186" s="561" t="b">
        <f>OR((LEFT('RFPR cover'!$C$8,2)=Data!F186),'RFPR cover'!$C$7=Data!F186)</f>
        <v>0</v>
      </c>
      <c r="F186" s="564" t="str">
        <f>E216</f>
        <v>NGGT (SO)</v>
      </c>
    </row>
    <row r="187" spans="1:13" ht="19.5" customHeight="1">
      <c r="A187" s="55"/>
      <c r="B187" s="257" t="str">
        <f t="shared" si="23"/>
        <v/>
      </c>
      <c r="C187" s="57"/>
      <c r="D187" s="57"/>
      <c r="E187" s="561" t="b">
        <f>OR((LEFT('RFPR cover'!$C$8,2)=Data!F187),'RFPR cover'!$C$7=Data!F187)</f>
        <v>0</v>
      </c>
      <c r="F187" s="564" t="str">
        <f>B227</f>
        <v>NGGT (TO+SO)</v>
      </c>
    </row>
    <row r="188" spans="1:13" ht="19.5" customHeight="1">
      <c r="A188" s="55"/>
      <c r="B188" s="257" t="str">
        <f t="shared" si="23"/>
        <v/>
      </c>
      <c r="C188" s="57"/>
      <c r="D188" s="57"/>
      <c r="E188" s="561" t="b">
        <f>OR((LEFT('RFPR cover'!$C$8,2)=Data!F188),'RFPR cover'!$C$7=Data!F188)</f>
        <v>0</v>
      </c>
      <c r="F188" s="564" t="str">
        <f>E227</f>
        <v>NGET (TO)</v>
      </c>
    </row>
    <row r="189" spans="1:13" ht="19.5" customHeight="1">
      <c r="A189" s="55"/>
      <c r="B189" s="257" t="str">
        <f t="shared" si="23"/>
        <v/>
      </c>
      <c r="C189" s="57"/>
      <c r="D189" s="57"/>
      <c r="E189" s="561" t="b">
        <f>OR((LEFT('RFPR cover'!$C$8,2)=Data!F189),'RFPR cover'!$C$7=Data!F189)</f>
        <v>0</v>
      </c>
      <c r="F189" s="564" t="str">
        <f>B238</f>
        <v>ESO</v>
      </c>
    </row>
    <row r="190" spans="1:13" ht="19.5" customHeight="1">
      <c r="A190" s="55"/>
      <c r="B190" s="257" t="str">
        <f t="shared" si="23"/>
        <v/>
      </c>
      <c r="C190" s="57"/>
      <c r="D190" s="57"/>
      <c r="E190" s="561" t="b">
        <f>OR((LEFT('RFPR cover'!$C$8,2)=Data!F190),'RFPR cover'!$C$7=Data!F190)</f>
        <v>0</v>
      </c>
      <c r="F190" s="564" t="str">
        <f>E238</f>
        <v>SPT</v>
      </c>
    </row>
    <row r="191" spans="1:13" ht="19.5" customHeight="1">
      <c r="A191" s="55"/>
      <c r="B191" s="257" t="str">
        <f t="shared" si="23"/>
        <v/>
      </c>
      <c r="C191" s="57"/>
      <c r="D191" s="57"/>
      <c r="E191" s="565" t="b">
        <f>OR((LEFT('RFPR cover'!$C$8,2)=Data!F191),'RFPR cover'!$C$7=Data!F191)</f>
        <v>0</v>
      </c>
      <c r="F191" s="567" t="str">
        <f>B249</f>
        <v>SHET</v>
      </c>
      <c r="G191" s="57"/>
      <c r="H191" s="57"/>
      <c r="I191" s="57"/>
    </row>
    <row r="192" spans="1:13" ht="12.75" customHeight="1">
      <c r="A192" s="55"/>
      <c r="B192" s="57"/>
      <c r="C192" s="57"/>
      <c r="D192" s="57"/>
      <c r="E192" s="26"/>
      <c r="F192" s="247"/>
    </row>
    <row r="193" spans="1:6" ht="12.75" customHeight="1">
      <c r="A193" s="55"/>
      <c r="B193" s="336"/>
      <c r="C193" s="336"/>
      <c r="D193" s="57"/>
      <c r="E193" s="26"/>
      <c r="F193" s="247"/>
    </row>
    <row r="194" spans="1:6" ht="12.75" customHeight="1">
      <c r="A194" s="55"/>
      <c r="B194" s="1012" t="s">
        <v>19</v>
      </c>
      <c r="C194" s="1013"/>
      <c r="D194" s="57"/>
      <c r="E194" s="57"/>
    </row>
    <row r="195" spans="1:6" ht="12.75" customHeight="1">
      <c r="A195" s="55"/>
      <c r="B195" s="1002"/>
      <c r="C195" s="1003"/>
      <c r="D195" s="57"/>
      <c r="E195" s="57"/>
    </row>
    <row r="196" spans="1:6" ht="12.75" customHeight="1">
      <c r="A196" s="55"/>
      <c r="B196" s="989"/>
      <c r="C196" s="990"/>
      <c r="D196" s="57"/>
      <c r="E196" s="57"/>
    </row>
    <row r="197" spans="1:6" ht="12.75" customHeight="1">
      <c r="A197" s="55"/>
      <c r="B197" s="989"/>
      <c r="C197" s="990"/>
      <c r="D197" s="57"/>
      <c r="E197" s="57"/>
    </row>
    <row r="198" spans="1:6" ht="12.75" customHeight="1">
      <c r="A198" s="55"/>
      <c r="B198" s="989"/>
      <c r="C198" s="990"/>
      <c r="D198" s="57"/>
      <c r="E198" s="57"/>
    </row>
    <row r="199" spans="1:6" ht="12.75" customHeight="1">
      <c r="A199" s="55"/>
      <c r="B199" s="989"/>
      <c r="C199" s="990"/>
      <c r="D199" s="57"/>
      <c r="E199" s="57"/>
    </row>
    <row r="200" spans="1:6" ht="12.75" customHeight="1">
      <c r="A200" s="55"/>
      <c r="B200" s="989"/>
      <c r="C200" s="990"/>
      <c r="D200" s="57"/>
      <c r="E200" s="57"/>
    </row>
    <row r="201" spans="1:6">
      <c r="A201" s="55"/>
      <c r="B201" s="989"/>
      <c r="C201" s="990"/>
      <c r="D201" s="57"/>
      <c r="E201" s="57"/>
    </row>
    <row r="202" spans="1:6" ht="12.75" customHeight="1">
      <c r="A202" s="55"/>
      <c r="B202" s="991"/>
      <c r="C202" s="992"/>
      <c r="D202" s="57"/>
      <c r="E202" s="57"/>
    </row>
    <row r="203" spans="1:6" ht="12.75" customHeight="1">
      <c r="A203" s="55"/>
      <c r="B203" s="57"/>
      <c r="C203" s="57"/>
      <c r="D203" s="57"/>
      <c r="E203" s="57"/>
    </row>
    <row r="204" spans="1:6" ht="12.75" customHeight="1">
      <c r="A204" s="55"/>
      <c r="B204" s="57"/>
      <c r="C204" s="57"/>
      <c r="D204" s="57"/>
      <c r="E204" s="57"/>
    </row>
    <row r="205" spans="1:6" ht="12.75" customHeight="1">
      <c r="A205" s="55"/>
      <c r="B205" s="1014" t="s">
        <v>25</v>
      </c>
      <c r="C205" s="1015"/>
      <c r="D205" s="57"/>
      <c r="E205" s="57"/>
    </row>
    <row r="206" spans="1:6" ht="12.75" customHeight="1">
      <c r="A206" s="55"/>
      <c r="B206" s="1002" t="s">
        <v>113</v>
      </c>
      <c r="C206" s="1003"/>
      <c r="E206" s="57"/>
    </row>
    <row r="207" spans="1:6" ht="12.75" customHeight="1">
      <c r="A207" s="55"/>
      <c r="B207" s="989" t="s">
        <v>114</v>
      </c>
      <c r="C207" s="990"/>
      <c r="D207" s="57"/>
      <c r="E207" s="57"/>
    </row>
    <row r="208" spans="1:6" ht="12.75" customHeight="1">
      <c r="A208" s="55"/>
      <c r="B208" s="989"/>
      <c r="C208" s="990"/>
      <c r="D208" s="57"/>
      <c r="E208" s="57"/>
    </row>
    <row r="209" spans="1:9" ht="12.75" customHeight="1">
      <c r="A209" s="55"/>
      <c r="B209" s="989"/>
      <c r="C209" s="990"/>
      <c r="D209" s="57"/>
      <c r="E209" s="57"/>
    </row>
    <row r="210" spans="1:9">
      <c r="A210" s="55"/>
      <c r="B210" s="989"/>
      <c r="C210" s="990"/>
      <c r="D210" s="57"/>
      <c r="E210" s="57"/>
    </row>
    <row r="211" spans="1:9">
      <c r="A211" s="55"/>
      <c r="B211" s="989"/>
      <c r="C211" s="990"/>
      <c r="D211" s="57"/>
      <c r="E211" s="57"/>
    </row>
    <row r="212" spans="1:9" ht="12.75" customHeight="1">
      <c r="A212" s="55"/>
      <c r="B212" s="989"/>
      <c r="C212" s="990"/>
      <c r="D212" s="57"/>
      <c r="E212" s="57"/>
    </row>
    <row r="213" spans="1:9">
      <c r="A213" s="55"/>
      <c r="B213" s="991"/>
      <c r="C213" s="992"/>
      <c r="D213" s="57"/>
      <c r="E213" s="57"/>
    </row>
    <row r="214" spans="1:9">
      <c r="A214" s="55"/>
      <c r="B214" s="57"/>
      <c r="C214" s="57"/>
      <c r="D214" s="57"/>
      <c r="E214" s="57"/>
    </row>
    <row r="215" spans="1:9">
      <c r="A215" s="55"/>
      <c r="B215" s="57"/>
      <c r="C215" s="57"/>
      <c r="D215" s="57"/>
      <c r="E215" s="57"/>
    </row>
    <row r="216" spans="1:9">
      <c r="A216" s="55"/>
      <c r="B216" s="425" t="str">
        <f>B77</f>
        <v>NGGT (TO)</v>
      </c>
      <c r="C216" s="402"/>
      <c r="D216" s="57"/>
      <c r="E216" s="1004" t="str">
        <f>B78</f>
        <v>NGGT (SO)</v>
      </c>
      <c r="F216" s="1004"/>
      <c r="G216" s="1004"/>
      <c r="H216" s="1004"/>
      <c r="I216" s="1005"/>
    </row>
    <row r="217" spans="1:9">
      <c r="A217" s="55"/>
      <c r="B217" s="1002" t="s">
        <v>115</v>
      </c>
      <c r="C217" s="1003"/>
      <c r="E217" s="1006"/>
      <c r="F217" s="1007"/>
      <c r="G217" s="1007"/>
      <c r="H217" s="1007"/>
      <c r="I217" s="1008"/>
    </row>
    <row r="218" spans="1:9" ht="25.5" customHeight="1">
      <c r="A218" s="55"/>
      <c r="B218" s="989" t="s">
        <v>116</v>
      </c>
      <c r="C218" s="990"/>
      <c r="E218" s="1006"/>
      <c r="F218" s="1007"/>
      <c r="G218" s="1007"/>
      <c r="H218" s="1007"/>
      <c r="I218" s="1008"/>
    </row>
    <row r="219" spans="1:9" ht="13.5" customHeight="1">
      <c r="A219" s="55"/>
      <c r="B219" s="989" t="s">
        <v>117</v>
      </c>
      <c r="C219" s="990"/>
      <c r="D219" s="57"/>
      <c r="E219" s="1006"/>
      <c r="F219" s="1007"/>
      <c r="G219" s="1007"/>
      <c r="H219" s="1007"/>
      <c r="I219" s="1008"/>
    </row>
    <row r="220" spans="1:9" ht="13.5" customHeight="1">
      <c r="A220" s="55"/>
      <c r="B220" s="989"/>
      <c r="C220" s="990"/>
      <c r="D220" s="57"/>
      <c r="E220" s="993" t="s">
        <v>118</v>
      </c>
      <c r="F220" s="994"/>
      <c r="G220" s="994"/>
      <c r="H220" s="994"/>
      <c r="I220" s="995"/>
    </row>
    <row r="221" spans="1:9" ht="13.5" customHeight="1">
      <c r="A221" s="55"/>
      <c r="B221" s="426"/>
      <c r="C221" s="403"/>
      <c r="D221" s="57"/>
      <c r="E221" s="993" t="s">
        <v>119</v>
      </c>
      <c r="F221" s="994"/>
      <c r="G221" s="994"/>
      <c r="H221" s="994"/>
      <c r="I221" s="995"/>
    </row>
    <row r="222" spans="1:9" ht="13.5" customHeight="1">
      <c r="A222" s="55"/>
      <c r="B222" s="989"/>
      <c r="C222" s="990"/>
      <c r="D222" s="57"/>
      <c r="E222" s="993" t="s">
        <v>120</v>
      </c>
      <c r="F222" s="994"/>
      <c r="G222" s="994"/>
      <c r="H222" s="994"/>
      <c r="I222" s="995"/>
    </row>
    <row r="223" spans="1:9" ht="13.5" customHeight="1">
      <c r="A223" s="55"/>
      <c r="B223" s="989"/>
      <c r="C223" s="990"/>
      <c r="D223" s="57"/>
      <c r="E223" s="996" t="s">
        <v>121</v>
      </c>
      <c r="F223" s="997"/>
      <c r="G223" s="997"/>
      <c r="H223" s="997"/>
      <c r="I223" s="998"/>
    </row>
    <row r="224" spans="1:9" ht="12.75" customHeight="1">
      <c r="A224" s="55"/>
      <c r="B224" s="991"/>
      <c r="C224" s="992"/>
      <c r="D224" s="57"/>
      <c r="E224" s="999" t="s">
        <v>122</v>
      </c>
      <c r="F224" s="1000"/>
      <c r="G224" s="1000"/>
      <c r="H224" s="1000"/>
      <c r="I224" s="1001"/>
    </row>
    <row r="225" spans="1:9">
      <c r="A225" s="55"/>
      <c r="B225" s="57"/>
      <c r="C225" s="57"/>
      <c r="D225" s="57"/>
      <c r="E225" s="57"/>
    </row>
    <row r="226" spans="1:9" ht="12.75" customHeight="1">
      <c r="A226" s="55"/>
      <c r="B226" s="57"/>
      <c r="C226" s="57"/>
      <c r="D226" s="57"/>
      <c r="E226" s="57"/>
    </row>
    <row r="227" spans="1:9">
      <c r="A227" s="55"/>
      <c r="B227" s="1004" t="s">
        <v>4</v>
      </c>
      <c r="C227" s="1005"/>
      <c r="D227" s="57"/>
      <c r="E227" s="1004" t="s">
        <v>86</v>
      </c>
      <c r="F227" s="1004"/>
      <c r="G227" s="1004"/>
      <c r="H227" s="1004"/>
      <c r="I227" s="1005"/>
    </row>
    <row r="228" spans="1:9" ht="12.75" customHeight="1">
      <c r="A228" s="55"/>
      <c r="B228" s="1002" t="s">
        <v>115</v>
      </c>
      <c r="C228" s="1003"/>
      <c r="E228" s="1002" t="s">
        <v>115</v>
      </c>
      <c r="F228" s="1002"/>
      <c r="G228" s="1002"/>
      <c r="H228" s="1002"/>
      <c r="I228" s="1003"/>
    </row>
    <row r="229" spans="1:9" ht="12.75" customHeight="1">
      <c r="A229" s="55"/>
      <c r="B229" s="989" t="s">
        <v>116</v>
      </c>
      <c r="C229" s="990"/>
      <c r="E229" s="989" t="s">
        <v>116</v>
      </c>
      <c r="F229" s="989"/>
      <c r="G229" s="989"/>
      <c r="H229" s="989"/>
      <c r="I229" s="990"/>
    </row>
    <row r="230" spans="1:9" ht="12.75" customHeight="1">
      <c r="A230" s="55"/>
      <c r="B230" s="989" t="s">
        <v>117</v>
      </c>
      <c r="C230" s="990"/>
      <c r="E230" s="989" t="s">
        <v>117</v>
      </c>
      <c r="F230" s="989"/>
      <c r="G230" s="989"/>
      <c r="H230" s="989"/>
      <c r="I230" s="990"/>
    </row>
    <row r="231" spans="1:9" ht="24" customHeight="1">
      <c r="A231" s="55"/>
      <c r="B231" s="989" t="s">
        <v>118</v>
      </c>
      <c r="C231" s="990"/>
      <c r="E231" s="989"/>
      <c r="F231" s="989"/>
      <c r="G231" s="989"/>
      <c r="H231" s="989"/>
      <c r="I231" s="990"/>
    </row>
    <row r="232" spans="1:9">
      <c r="A232" s="55"/>
      <c r="B232" s="989" t="s">
        <v>119</v>
      </c>
      <c r="C232" s="990"/>
      <c r="E232" s="989"/>
      <c r="F232" s="989"/>
      <c r="G232" s="989"/>
      <c r="H232" s="989"/>
      <c r="I232" s="990"/>
    </row>
    <row r="233" spans="1:9">
      <c r="A233" s="55"/>
      <c r="B233" s="989" t="s">
        <v>120</v>
      </c>
      <c r="C233" s="990"/>
      <c r="E233" s="989"/>
      <c r="F233" s="989"/>
      <c r="G233" s="989"/>
      <c r="H233" s="989"/>
      <c r="I233" s="990"/>
    </row>
    <row r="234" spans="1:9" ht="12.75" customHeight="1">
      <c r="A234" s="55"/>
      <c r="B234" s="989" t="s">
        <v>121</v>
      </c>
      <c r="C234" s="990"/>
      <c r="E234" s="989"/>
      <c r="F234" s="989"/>
      <c r="G234" s="989"/>
      <c r="H234" s="989"/>
      <c r="I234" s="990"/>
    </row>
    <row r="235" spans="1:9" ht="12.75" customHeight="1">
      <c r="A235" s="55"/>
      <c r="B235" s="991" t="s">
        <v>122</v>
      </c>
      <c r="C235" s="992"/>
      <c r="D235" s="57"/>
      <c r="E235" s="991"/>
      <c r="F235" s="991"/>
      <c r="G235" s="991"/>
      <c r="H235" s="991"/>
      <c r="I235" s="992"/>
    </row>
    <row r="236" spans="1:9" ht="12.75" customHeight="1">
      <c r="A236" s="55"/>
      <c r="B236" s="55"/>
      <c r="C236" s="55"/>
      <c r="D236" s="57"/>
      <c r="E236" s="243"/>
      <c r="F236" s="243"/>
      <c r="G236" s="243"/>
      <c r="H236" s="243"/>
      <c r="I236" s="243"/>
    </row>
    <row r="237" spans="1:9" ht="12.75" customHeight="1">
      <c r="A237" s="55"/>
      <c r="B237" s="55"/>
      <c r="C237" s="55"/>
      <c r="D237" s="57"/>
      <c r="E237" s="243"/>
      <c r="F237" s="243"/>
      <c r="G237" s="243"/>
      <c r="H237" s="243"/>
      <c r="I237" s="243"/>
    </row>
    <row r="238" spans="1:9" ht="12.75" customHeight="1">
      <c r="A238" s="55"/>
      <c r="B238" s="1004" t="s">
        <v>28</v>
      </c>
      <c r="C238" s="1005"/>
      <c r="D238" s="57"/>
      <c r="E238" s="1004" t="s">
        <v>87</v>
      </c>
      <c r="F238" s="1004"/>
      <c r="G238" s="1004"/>
      <c r="H238" s="1004"/>
      <c r="I238" s="1005"/>
    </row>
    <row r="239" spans="1:9" ht="12.75" customHeight="1">
      <c r="A239" s="55"/>
      <c r="B239" s="1002" t="s">
        <v>113</v>
      </c>
      <c r="C239" s="1003"/>
      <c r="E239" s="1002" t="s">
        <v>113</v>
      </c>
      <c r="F239" s="1002"/>
      <c r="G239" s="1002"/>
      <c r="H239" s="1002"/>
      <c r="I239" s="1003"/>
    </row>
    <row r="240" spans="1:9" ht="25.5" customHeight="1">
      <c r="A240" s="55"/>
      <c r="B240" s="989" t="s">
        <v>114</v>
      </c>
      <c r="C240" s="990"/>
      <c r="E240" s="989" t="s">
        <v>114</v>
      </c>
      <c r="F240" s="989"/>
      <c r="G240" s="989"/>
      <c r="H240" s="989"/>
      <c r="I240" s="990"/>
    </row>
    <row r="241" spans="1:9" ht="25.5" customHeight="1">
      <c r="A241" s="55"/>
      <c r="B241" s="989"/>
      <c r="C241" s="990"/>
      <c r="E241" s="989"/>
      <c r="F241" s="989"/>
      <c r="G241" s="989"/>
      <c r="H241" s="989"/>
      <c r="I241" s="990"/>
    </row>
    <row r="242" spans="1:9" ht="25.5" customHeight="1">
      <c r="A242" s="55"/>
      <c r="B242" s="989"/>
      <c r="C242" s="990"/>
      <c r="E242" s="989"/>
      <c r="F242" s="989"/>
      <c r="G242" s="989"/>
      <c r="H242" s="989"/>
      <c r="I242" s="990"/>
    </row>
    <row r="243" spans="1:9" ht="25.5" customHeight="1">
      <c r="A243" s="55"/>
      <c r="B243" s="989"/>
      <c r="C243" s="990"/>
      <c r="E243" s="989"/>
      <c r="F243" s="989"/>
      <c r="G243" s="989"/>
      <c r="H243" s="989"/>
      <c r="I243" s="990"/>
    </row>
    <row r="244" spans="1:9" ht="25.5" customHeight="1">
      <c r="A244" s="55"/>
      <c r="B244" s="989"/>
      <c r="C244" s="990"/>
      <c r="E244" s="989"/>
      <c r="F244" s="989"/>
      <c r="G244" s="989"/>
      <c r="H244" s="989"/>
      <c r="I244" s="990"/>
    </row>
    <row r="245" spans="1:9">
      <c r="A245" s="55"/>
      <c r="B245" s="989"/>
      <c r="C245" s="990"/>
      <c r="E245" s="989"/>
      <c r="F245" s="989"/>
      <c r="G245" s="989"/>
      <c r="H245" s="989"/>
      <c r="I245" s="990"/>
    </row>
    <row r="246" spans="1:9">
      <c r="A246" s="55"/>
      <c r="B246" s="991"/>
      <c r="C246" s="992"/>
      <c r="D246" s="57"/>
      <c r="E246" s="991"/>
      <c r="F246" s="991"/>
      <c r="G246" s="991"/>
      <c r="H246" s="991"/>
      <c r="I246" s="992"/>
    </row>
    <row r="247" spans="1:9">
      <c r="A247" s="55"/>
      <c r="D247" s="57"/>
      <c r="E247" s="57"/>
    </row>
    <row r="248" spans="1:9">
      <c r="A248" s="55"/>
      <c r="D248" s="57"/>
      <c r="E248" s="57"/>
    </row>
    <row r="249" spans="1:9">
      <c r="A249" s="55"/>
      <c r="B249" s="1004" t="s">
        <v>45</v>
      </c>
      <c r="C249" s="1005"/>
      <c r="D249" s="57"/>
      <c r="E249" s="57"/>
    </row>
    <row r="250" spans="1:9">
      <c r="A250" s="55"/>
      <c r="B250" s="989" t="s">
        <v>113</v>
      </c>
      <c r="C250" s="990"/>
      <c r="D250" s="1027"/>
      <c r="E250" s="1027"/>
    </row>
    <row r="251" spans="1:9">
      <c r="A251" s="55"/>
      <c r="B251" s="989" t="s">
        <v>114</v>
      </c>
      <c r="C251" s="990"/>
      <c r="D251" s="1027"/>
      <c r="E251" s="1027"/>
    </row>
    <row r="252" spans="1:9">
      <c r="A252" s="55"/>
      <c r="B252" s="989"/>
      <c r="C252" s="990"/>
      <c r="D252" s="57"/>
      <c r="E252" s="57"/>
    </row>
    <row r="253" spans="1:9">
      <c r="A253" s="55"/>
      <c r="B253" s="989"/>
      <c r="C253" s="990"/>
      <c r="D253" s="57"/>
      <c r="E253" s="57"/>
    </row>
    <row r="254" spans="1:9">
      <c r="A254" s="55"/>
      <c r="B254" s="989"/>
      <c r="C254" s="990"/>
      <c r="D254" s="57"/>
      <c r="E254" s="57"/>
    </row>
    <row r="255" spans="1:9">
      <c r="A255" s="55"/>
      <c r="B255" s="989"/>
      <c r="C255" s="990"/>
      <c r="D255" s="57"/>
      <c r="E255" s="57"/>
    </row>
    <row r="256" spans="1:9">
      <c r="A256" s="55"/>
      <c r="B256" s="989"/>
      <c r="C256" s="990"/>
      <c r="D256" s="57"/>
      <c r="E256" s="57"/>
    </row>
    <row r="257" spans="1:14">
      <c r="A257" s="55"/>
      <c r="B257" s="991"/>
      <c r="C257" s="992"/>
      <c r="D257" s="57"/>
      <c r="E257" s="57"/>
    </row>
    <row r="258" spans="1:14">
      <c r="A258" s="55"/>
      <c r="D258" s="57"/>
      <c r="E258" s="57"/>
    </row>
    <row r="259" spans="1:14">
      <c r="A259" s="55"/>
      <c r="D259" s="57"/>
      <c r="E259" s="57"/>
    </row>
    <row r="260" spans="1:14">
      <c r="A260" s="55"/>
      <c r="D260" s="57"/>
      <c r="E260" s="57"/>
    </row>
    <row r="261" spans="1:14">
      <c r="A261" s="55"/>
      <c r="D261" s="57"/>
      <c r="E261" s="57"/>
    </row>
    <row r="262" spans="1:14">
      <c r="A262" s="55"/>
      <c r="D262" s="57"/>
      <c r="E262" s="57"/>
    </row>
    <row r="263" spans="1:14">
      <c r="A263" s="55"/>
      <c r="D263" s="57"/>
      <c r="E263" s="57"/>
    </row>
    <row r="264" spans="1:14">
      <c r="A264" s="55"/>
      <c r="B264" s="988" t="s">
        <v>123</v>
      </c>
      <c r="C264" s="988"/>
      <c r="D264" s="988"/>
      <c r="E264" s="988"/>
      <c r="F264" s="988"/>
      <c r="G264" s="988"/>
      <c r="H264" s="988"/>
      <c r="I264" s="62"/>
      <c r="J264" s="62"/>
      <c r="K264" s="62"/>
      <c r="L264" s="62"/>
      <c r="M264" s="62"/>
      <c r="N264" s="62"/>
    </row>
    <row r="265" spans="1:14">
      <c r="A265" s="55"/>
      <c r="B265" s="57"/>
      <c r="C265" s="57"/>
      <c r="D265" s="57"/>
      <c r="E265" s="57"/>
    </row>
    <row r="266" spans="1:14">
      <c r="B266" s="27"/>
    </row>
    <row r="267" spans="1:14">
      <c r="B267" s="520" t="s">
        <v>124</v>
      </c>
    </row>
    <row r="268" spans="1:14">
      <c r="B268" s="345" t="s">
        <v>125</v>
      </c>
    </row>
    <row r="269" spans="1:14">
      <c r="B269" s="346" t="s">
        <v>126</v>
      </c>
    </row>
    <row r="270" spans="1:14">
      <c r="B270" s="347" t="s">
        <v>127</v>
      </c>
    </row>
    <row r="271" spans="1:14">
      <c r="B271" s="348"/>
    </row>
    <row r="272" spans="1:14">
      <c r="B272" s="52"/>
    </row>
    <row r="273" spans="2:2">
      <c r="B273" s="520" t="s">
        <v>128</v>
      </c>
    </row>
    <row r="274" spans="2:2" ht="12.75" customHeight="1">
      <c r="B274" s="349" t="s">
        <v>129</v>
      </c>
    </row>
    <row r="275" spans="2:2" ht="13.5" customHeight="1">
      <c r="B275" s="346" t="s">
        <v>130</v>
      </c>
    </row>
    <row r="276" spans="2:2" ht="13.5" customHeight="1">
      <c r="B276" s="346" t="s">
        <v>131</v>
      </c>
    </row>
    <row r="277" spans="2:2">
      <c r="B277" s="346" t="s">
        <v>132</v>
      </c>
    </row>
    <row r="278" spans="2:2" ht="13.5" customHeight="1">
      <c r="B278" s="346" t="s">
        <v>133</v>
      </c>
    </row>
    <row r="279" spans="2:2">
      <c r="B279" s="346" t="s">
        <v>134</v>
      </c>
    </row>
    <row r="280" spans="2:2">
      <c r="B280" s="346" t="s">
        <v>135</v>
      </c>
    </row>
    <row r="281" spans="2:2">
      <c r="B281" s="346" t="s">
        <v>1063</v>
      </c>
    </row>
    <row r="282" spans="2:2">
      <c r="B282" s="348"/>
    </row>
    <row r="283" spans="2:2" ht="13.5" customHeight="1">
      <c r="B283" s="52"/>
    </row>
    <row r="284" spans="2:2" ht="13.5" customHeight="1">
      <c r="B284" s="520" t="s">
        <v>136</v>
      </c>
    </row>
    <row r="285" spans="2:2" ht="13.5" customHeight="1">
      <c r="B285" s="349" t="s">
        <v>137</v>
      </c>
    </row>
    <row r="286" spans="2:2">
      <c r="B286" s="346" t="s">
        <v>138</v>
      </c>
    </row>
    <row r="287" spans="2:2">
      <c r="B287" s="346" t="s">
        <v>139</v>
      </c>
    </row>
    <row r="288" spans="2:2">
      <c r="B288" s="346" t="s">
        <v>140</v>
      </c>
    </row>
    <row r="289" spans="2:2">
      <c r="B289" s="346" t="s">
        <v>141</v>
      </c>
    </row>
    <row r="290" spans="2:2">
      <c r="B290" s="348" t="s">
        <v>1064</v>
      </c>
    </row>
    <row r="291" spans="2:2">
      <c r="B291" s="52"/>
    </row>
    <row r="292" spans="2:2">
      <c r="B292" s="520" t="s">
        <v>142</v>
      </c>
    </row>
    <row r="293" spans="2:2" ht="12.75" customHeight="1">
      <c r="B293" s="349" t="s">
        <v>143</v>
      </c>
    </row>
    <row r="294" spans="2:2" ht="12.75" customHeight="1">
      <c r="B294" s="346" t="s">
        <v>144</v>
      </c>
    </row>
    <row r="295" spans="2:2" ht="12.75" customHeight="1">
      <c r="B295" s="348"/>
    </row>
    <row r="296" spans="2:2" ht="12.75" customHeight="1">
      <c r="B296" s="52"/>
    </row>
    <row r="297" spans="2:2">
      <c r="B297" s="520" t="s">
        <v>145</v>
      </c>
    </row>
    <row r="298" spans="2:2">
      <c r="B298" s="349" t="s">
        <v>146</v>
      </c>
    </row>
    <row r="299" spans="2:2">
      <c r="B299" s="346" t="s">
        <v>147</v>
      </c>
    </row>
    <row r="300" spans="2:2">
      <c r="B300" s="348" t="s">
        <v>148</v>
      </c>
    </row>
    <row r="301" spans="2:2">
      <c r="B301" s="52"/>
    </row>
    <row r="302" spans="2:2">
      <c r="B302" s="520" t="s">
        <v>149</v>
      </c>
    </row>
    <row r="303" spans="2:2" ht="12.75" customHeight="1">
      <c r="B303" s="349" t="s">
        <v>150</v>
      </c>
    </row>
    <row r="304" spans="2:2" ht="13.5" customHeight="1">
      <c r="B304" s="346" t="s">
        <v>151</v>
      </c>
    </row>
    <row r="305" spans="2:2" ht="12.75" customHeight="1">
      <c r="B305" s="346"/>
    </row>
    <row r="306" spans="2:2" ht="12.75" customHeight="1">
      <c r="B306" s="348"/>
    </row>
    <row r="307" spans="2:2" ht="12.75" customHeight="1">
      <c r="B307" s="52"/>
    </row>
    <row r="308" spans="2:2">
      <c r="B308" s="520" t="s">
        <v>152</v>
      </c>
    </row>
    <row r="309" spans="2:2">
      <c r="B309" s="349" t="s">
        <v>153</v>
      </c>
    </row>
    <row r="310" spans="2:2">
      <c r="B310" s="346" t="s">
        <v>154</v>
      </c>
    </row>
    <row r="311" spans="2:2">
      <c r="B311" s="346" t="s">
        <v>1065</v>
      </c>
    </row>
    <row r="312" spans="2:2">
      <c r="B312" s="347" t="s">
        <v>1066</v>
      </c>
    </row>
    <row r="313" spans="2:2">
      <c r="B313" s="347" t="s">
        <v>1067</v>
      </c>
    </row>
    <row r="314" spans="2:2">
      <c r="B314" s="347" t="s">
        <v>1065</v>
      </c>
    </row>
    <row r="315" spans="2:2">
      <c r="B315" s="347" t="s">
        <v>1068</v>
      </c>
    </row>
    <row r="316" spans="2:2">
      <c r="B316" s="347" t="s">
        <v>1069</v>
      </c>
    </row>
    <row r="317" spans="2:2">
      <c r="B317" s="347" t="s">
        <v>1075</v>
      </c>
    </row>
    <row r="318" spans="2:2">
      <c r="B318" s="347" t="s">
        <v>1070</v>
      </c>
    </row>
    <row r="319" spans="2:2">
      <c r="B319" s="347" t="s">
        <v>1071</v>
      </c>
    </row>
    <row r="320" spans="2:2">
      <c r="B320" s="347" t="s">
        <v>1072</v>
      </c>
    </row>
    <row r="321" spans="2:2">
      <c r="B321" s="347" t="s">
        <v>1073</v>
      </c>
    </row>
    <row r="322" spans="2:2">
      <c r="B322" s="347" t="s">
        <v>1074</v>
      </c>
    </row>
    <row r="323" spans="2:2">
      <c r="B323" s="348" t="s">
        <v>1070</v>
      </c>
    </row>
    <row r="324" spans="2:2">
      <c r="B324" s="52"/>
    </row>
    <row r="325" spans="2:2">
      <c r="B325" s="520" t="s">
        <v>155</v>
      </c>
    </row>
    <row r="326" spans="2:2">
      <c r="B326" s="349" t="s">
        <v>125</v>
      </c>
    </row>
    <row r="327" spans="2:2">
      <c r="B327" s="346" t="s">
        <v>126</v>
      </c>
    </row>
    <row r="328" spans="2:2" ht="12.75" customHeight="1">
      <c r="B328" s="348"/>
    </row>
  </sheetData>
  <sheetProtection algorithmName="SHA-512" hashValue="+oOONMElr0Sz4n2GBcFXrbJzLt8Ydd8x7RvrbO6GSFxrdR5GgDDvPUD8GB8cvcA9CvNRIwTSoz3PJNh0qxWqqQ==" saltValue="VeiB9XLbESfb0awL7F+4wg==" spinCount="100000" sheet="1" objects="1" scenarios="1"/>
  <mergeCells count="140">
    <mergeCell ref="B198:C198"/>
    <mergeCell ref="B209:C209"/>
    <mergeCell ref="B244:C244"/>
    <mergeCell ref="E244:I244"/>
    <mergeCell ref="B254:C254"/>
    <mergeCell ref="B249:C249"/>
    <mergeCell ref="B250:C250"/>
    <mergeCell ref="B251:C251"/>
    <mergeCell ref="B252:C252"/>
    <mergeCell ref="B253:C253"/>
    <mergeCell ref="B202:C202"/>
    <mergeCell ref="E221:I221"/>
    <mergeCell ref="B212:C212"/>
    <mergeCell ref="B213:C213"/>
    <mergeCell ref="B211:C211"/>
    <mergeCell ref="B205:C205"/>
    <mergeCell ref="B233:C233"/>
    <mergeCell ref="E233:I233"/>
    <mergeCell ref="E245:I245"/>
    <mergeCell ref="B220:C220"/>
    <mergeCell ref="B222:C222"/>
    <mergeCell ref="B207:C207"/>
    <mergeCell ref="B208:C208"/>
    <mergeCell ref="B228:C228"/>
    <mergeCell ref="B255:C255"/>
    <mergeCell ref="B256:C256"/>
    <mergeCell ref="B257:C257"/>
    <mergeCell ref="D250:E250"/>
    <mergeCell ref="D251:E251"/>
    <mergeCell ref="E174:H174"/>
    <mergeCell ref="E175:H175"/>
    <mergeCell ref="E176:H176"/>
    <mergeCell ref="E177:H177"/>
    <mergeCell ref="E178:H178"/>
    <mergeCell ref="E179:H179"/>
    <mergeCell ref="B199:C199"/>
    <mergeCell ref="B200:C200"/>
    <mergeCell ref="E241:I241"/>
    <mergeCell ref="E242:I242"/>
    <mergeCell ref="E243:I243"/>
    <mergeCell ref="B230:C230"/>
    <mergeCell ref="B231:C231"/>
    <mergeCell ref="B234:C234"/>
    <mergeCell ref="B235:C235"/>
    <mergeCell ref="B227:C227"/>
    <mergeCell ref="E227:I227"/>
    <mergeCell ref="B232:C232"/>
    <mergeCell ref="B201:C201"/>
    <mergeCell ref="B174:C174"/>
    <mergeCell ref="B175:C175"/>
    <mergeCell ref="B176:C176"/>
    <mergeCell ref="B178:C178"/>
    <mergeCell ref="B179:C179"/>
    <mergeCell ref="E169:F169"/>
    <mergeCell ref="E163:H163"/>
    <mergeCell ref="E164:H164"/>
    <mergeCell ref="E165:H165"/>
    <mergeCell ref="E166:H166"/>
    <mergeCell ref="E167:H167"/>
    <mergeCell ref="E168:H168"/>
    <mergeCell ref="E162:H162"/>
    <mergeCell ref="E173:H173"/>
    <mergeCell ref="E172:H172"/>
    <mergeCell ref="B157:C157"/>
    <mergeCell ref="B158:C158"/>
    <mergeCell ref="B159:C159"/>
    <mergeCell ref="B169:C169"/>
    <mergeCell ref="B149:C149"/>
    <mergeCell ref="B139:C139"/>
    <mergeCell ref="B172:C172"/>
    <mergeCell ref="B162:C162"/>
    <mergeCell ref="B165:C165"/>
    <mergeCell ref="B166:C166"/>
    <mergeCell ref="B167:C167"/>
    <mergeCell ref="B168:C168"/>
    <mergeCell ref="B154:C154"/>
    <mergeCell ref="B142:C142"/>
    <mergeCell ref="B153:C153"/>
    <mergeCell ref="B155:C155"/>
    <mergeCell ref="B156:C156"/>
    <mergeCell ref="B173:C173"/>
    <mergeCell ref="O53:U53"/>
    <mergeCell ref="H53:N53"/>
    <mergeCell ref="B177:C177"/>
    <mergeCell ref="B195:C195"/>
    <mergeCell ref="B196:C196"/>
    <mergeCell ref="B197:C197"/>
    <mergeCell ref="B194:C194"/>
    <mergeCell ref="B206:C206"/>
    <mergeCell ref="B132:C132"/>
    <mergeCell ref="B164:C164"/>
    <mergeCell ref="B163:C163"/>
    <mergeCell ref="B143:C143"/>
    <mergeCell ref="B144:C144"/>
    <mergeCell ref="B145:C145"/>
    <mergeCell ref="B146:C146"/>
    <mergeCell ref="B147:C147"/>
    <mergeCell ref="B148:C148"/>
    <mergeCell ref="B133:C133"/>
    <mergeCell ref="B134:C134"/>
    <mergeCell ref="B135:C135"/>
    <mergeCell ref="B136:C136"/>
    <mergeCell ref="B137:C137"/>
    <mergeCell ref="B138:C138"/>
    <mergeCell ref="B152:C152"/>
    <mergeCell ref="B210:C210"/>
    <mergeCell ref="E238:I238"/>
    <mergeCell ref="E235:I235"/>
    <mergeCell ref="B229:C229"/>
    <mergeCell ref="E217:I217"/>
    <mergeCell ref="E218:I218"/>
    <mergeCell ref="E219:I219"/>
    <mergeCell ref="E216:I216"/>
    <mergeCell ref="B217:C217"/>
    <mergeCell ref="B218:C218"/>
    <mergeCell ref="B219:C219"/>
    <mergeCell ref="B264:H264"/>
    <mergeCell ref="B223:C223"/>
    <mergeCell ref="B224:C224"/>
    <mergeCell ref="E220:I220"/>
    <mergeCell ref="E222:I222"/>
    <mergeCell ref="E223:I223"/>
    <mergeCell ref="E224:I224"/>
    <mergeCell ref="E234:I234"/>
    <mergeCell ref="E228:I228"/>
    <mergeCell ref="E229:I229"/>
    <mergeCell ref="E230:I230"/>
    <mergeCell ref="E231:I231"/>
    <mergeCell ref="E232:I232"/>
    <mergeCell ref="E246:I246"/>
    <mergeCell ref="B238:C238"/>
    <mergeCell ref="B239:C239"/>
    <mergeCell ref="B240:C240"/>
    <mergeCell ref="B241:C241"/>
    <mergeCell ref="B242:C242"/>
    <mergeCell ref="B243:C243"/>
    <mergeCell ref="B245:C245"/>
    <mergeCell ref="B246:C246"/>
    <mergeCell ref="E239:I239"/>
    <mergeCell ref="E240:I240"/>
  </mergeCells>
  <conditionalFormatting sqref="H53">
    <cfRule type="expression" dxfId="104" priority="15">
      <formula>AND(#REF!="Actuals",#REF!="Forecast")</formula>
    </cfRule>
  </conditionalFormatting>
  <conditionalFormatting sqref="H54:N54">
    <cfRule type="expression" dxfId="103" priority="14">
      <formula>AND(#REF!="Actuals",#REF!="Forecast")</formula>
    </cfRule>
  </conditionalFormatting>
  <conditionalFormatting sqref="C89:I89">
    <cfRule type="expression" dxfId="102" priority="10">
      <formula>AND(#REF!="Actuals",#REF!="Forecast")</formula>
    </cfRule>
  </conditionalFormatting>
  <conditionalFormatting sqref="O53">
    <cfRule type="expression" dxfId="101" priority="4">
      <formula>AND(#REF!="Actuals",#REF!="Forecast")</formula>
    </cfRule>
  </conditionalFormatting>
  <conditionalFormatting sqref="O54:U54">
    <cfRule type="expression" dxfId="100" priority="3">
      <formula>AND(#REF!="Actuals",#REF!="Forecast")</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expression" priority="18" id="{FAB975EA-77B5-47ED-B7AC-B8CAF74E8714}">
            <xm:f>AND('RFPR cover'!A$7="Actuals",'RFPR cover'!B$7="Forecast")</xm:f>
            <x14:dxf>
              <border>
                <right style="thin">
                  <color auto="1"/>
                </right>
                <vertical/>
                <horizontal/>
              </border>
            </x14:dxf>
          </x14:cfRule>
          <xm:sqref>C35:J35 C46:J46 D25:K25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35"/>
  <sheetViews>
    <sheetView showGridLines="0" zoomScale="80" zoomScaleNormal="80" workbookViewId="0">
      <pane ySplit="3" topLeftCell="A4" activePane="bottomLeft" state="frozen"/>
      <selection activeCell="B26" sqref="B26"/>
      <selection pane="bottomLeft" activeCell="J16" sqref="J16"/>
    </sheetView>
  </sheetViews>
  <sheetFormatPr defaultRowHeight="13.5"/>
  <cols>
    <col min="1" max="1" width="8.3828125" customWidth="1"/>
    <col min="2" max="2" width="23.765625" customWidth="1"/>
    <col min="3" max="3" width="25.765625" customWidth="1"/>
    <col min="4" max="4" width="9.765625" customWidth="1"/>
  </cols>
  <sheetData>
    <row r="1" spans="1:13" ht="20">
      <c r="A1" s="290" t="s">
        <v>156</v>
      </c>
      <c r="B1" s="290"/>
      <c r="C1" s="290"/>
      <c r="D1" s="290"/>
      <c r="E1" s="290"/>
      <c r="F1" s="290"/>
      <c r="G1" s="290"/>
      <c r="H1" s="290"/>
      <c r="I1" s="17" t="s">
        <v>157</v>
      </c>
      <c r="J1" s="18"/>
      <c r="K1" s="18"/>
      <c r="L1" s="18"/>
      <c r="M1" s="18"/>
    </row>
    <row r="2" spans="1:13" ht="20">
      <c r="A2" s="295" t="str">
        <f>Licensee</f>
        <v>NGGT (TO)</v>
      </c>
      <c r="B2" s="290"/>
      <c r="C2" s="290"/>
      <c r="D2" s="290"/>
      <c r="E2" s="290"/>
      <c r="F2" s="290"/>
      <c r="G2" s="290"/>
      <c r="H2" s="290"/>
      <c r="I2" s="18"/>
      <c r="J2" s="18"/>
      <c r="K2" s="18"/>
      <c r="L2" s="18"/>
      <c r="M2" s="18"/>
    </row>
    <row r="3" spans="1:13" ht="20">
      <c r="A3" s="290">
        <f>Reporting_Year</f>
        <v>2022</v>
      </c>
      <c r="B3" s="290"/>
      <c r="C3" s="290"/>
      <c r="D3" s="290"/>
      <c r="E3" s="290"/>
      <c r="F3" s="290"/>
      <c r="G3" s="290"/>
      <c r="H3" s="290"/>
      <c r="I3" s="18"/>
      <c r="J3" s="18"/>
      <c r="K3" s="18"/>
      <c r="L3" s="18"/>
      <c r="M3" s="18"/>
    </row>
    <row r="4" spans="1:13">
      <c r="A4" s="12"/>
      <c r="B4" s="12"/>
      <c r="C4" s="12"/>
      <c r="D4" s="12"/>
      <c r="E4" s="12"/>
      <c r="F4" s="12"/>
      <c r="G4" s="12"/>
      <c r="H4" s="12"/>
      <c r="I4" s="12"/>
      <c r="J4" s="12"/>
      <c r="K4" s="12"/>
      <c r="L4" s="12"/>
      <c r="M4" s="12"/>
    </row>
    <row r="5" spans="1:13">
      <c r="A5" s="12"/>
      <c r="B5" s="12"/>
      <c r="C5" s="12"/>
      <c r="D5" s="12"/>
      <c r="E5" s="12"/>
      <c r="F5" s="12"/>
      <c r="G5" s="12"/>
      <c r="H5" s="12"/>
      <c r="I5" s="12"/>
      <c r="J5" s="12"/>
      <c r="K5" s="12"/>
      <c r="L5" s="12"/>
      <c r="M5" s="12"/>
    </row>
    <row r="6" spans="1:13">
      <c r="A6" s="12"/>
      <c r="B6" s="13" t="s">
        <v>158</v>
      </c>
      <c r="C6" s="12"/>
      <c r="D6" s="12"/>
      <c r="E6" s="12"/>
      <c r="F6" s="12"/>
      <c r="G6" s="12"/>
      <c r="H6" s="12"/>
      <c r="I6" s="12"/>
      <c r="J6" s="12"/>
      <c r="K6" s="12"/>
      <c r="L6" s="12"/>
      <c r="M6" s="12"/>
    </row>
    <row r="7" spans="1:13">
      <c r="A7" s="12"/>
      <c r="B7" s="12"/>
      <c r="C7" s="12"/>
      <c r="D7" s="12"/>
      <c r="E7" s="12"/>
      <c r="F7" s="12"/>
      <c r="G7" s="12"/>
      <c r="H7" s="12"/>
      <c r="I7" s="12"/>
      <c r="J7" s="12"/>
      <c r="K7" s="12"/>
      <c r="L7" s="12"/>
      <c r="M7" s="12"/>
    </row>
    <row r="8" spans="1:13">
      <c r="A8" s="12"/>
      <c r="B8" s="521" t="s">
        <v>159</v>
      </c>
      <c r="C8" s="521" t="s">
        <v>160</v>
      </c>
      <c r="D8" s="1030" t="s">
        <v>161</v>
      </c>
      <c r="E8" s="1031"/>
      <c r="F8" s="1031"/>
      <c r="G8" s="1031"/>
      <c r="H8" s="1031"/>
      <c r="I8" s="12"/>
      <c r="J8" s="12"/>
      <c r="K8" s="12"/>
      <c r="L8" s="12"/>
      <c r="M8" s="12"/>
    </row>
    <row r="9" spans="1:13" ht="45.75" customHeight="1">
      <c r="A9" s="12"/>
      <c r="B9" s="986" t="s">
        <v>162</v>
      </c>
      <c r="C9" s="502" t="s">
        <v>163</v>
      </c>
      <c r="D9" s="1032" t="s">
        <v>1123</v>
      </c>
      <c r="E9" s="1033"/>
      <c r="F9" s="1033"/>
      <c r="G9" s="1033"/>
      <c r="H9" s="1033"/>
      <c r="I9" s="12"/>
      <c r="J9" s="12"/>
      <c r="K9" s="12"/>
      <c r="L9" s="12"/>
      <c r="M9" s="12"/>
    </row>
    <row r="10" spans="1:13">
      <c r="A10" s="12"/>
      <c r="B10" s="522" t="s">
        <v>164</v>
      </c>
      <c r="C10" s="523" t="s">
        <v>1396</v>
      </c>
      <c r="D10" s="1028" t="s">
        <v>1397</v>
      </c>
      <c r="E10" s="1029"/>
      <c r="F10" s="1029"/>
      <c r="G10" s="1029"/>
      <c r="H10" s="1029"/>
      <c r="I10" s="12" t="s">
        <v>1395</v>
      </c>
      <c r="J10" s="12"/>
      <c r="K10" s="12"/>
      <c r="L10" s="12"/>
      <c r="M10" s="12"/>
    </row>
    <row r="11" spans="1:13">
      <c r="A11" s="12"/>
      <c r="B11" s="522" t="s">
        <v>165</v>
      </c>
      <c r="C11" s="523"/>
      <c r="D11" s="1028"/>
      <c r="E11" s="1029"/>
      <c r="F11" s="1029"/>
      <c r="G11" s="1029"/>
      <c r="H11" s="1029"/>
      <c r="I11" s="12"/>
      <c r="J11" s="12"/>
      <c r="K11" s="12"/>
      <c r="L11" s="12"/>
      <c r="M11" s="12"/>
    </row>
    <row r="12" spans="1:13">
      <c r="A12" s="12"/>
      <c r="B12" s="522" t="s">
        <v>166</v>
      </c>
      <c r="C12" s="523"/>
      <c r="D12" s="1028"/>
      <c r="E12" s="1029"/>
      <c r="F12" s="1029"/>
      <c r="G12" s="1029"/>
      <c r="H12" s="1029"/>
      <c r="I12" s="12"/>
      <c r="J12" s="12"/>
      <c r="K12" s="12"/>
      <c r="L12" s="12"/>
      <c r="M12" s="12"/>
    </row>
    <row r="13" spans="1:13">
      <c r="A13" s="12"/>
      <c r="B13" s="522" t="s">
        <v>167</v>
      </c>
      <c r="C13" s="523"/>
      <c r="D13" s="1028"/>
      <c r="E13" s="1029"/>
      <c r="F13" s="1029"/>
      <c r="G13" s="1029"/>
      <c r="H13" s="1029"/>
      <c r="I13" s="12"/>
      <c r="J13" s="12"/>
      <c r="K13" s="12"/>
      <c r="L13" s="12"/>
      <c r="M13" s="12"/>
    </row>
    <row r="14" spans="1:13">
      <c r="A14" s="12"/>
      <c r="B14" s="522" t="s">
        <v>168</v>
      </c>
      <c r="C14" s="523"/>
      <c r="D14" s="1028"/>
      <c r="E14" s="1029"/>
      <c r="F14" s="1029"/>
      <c r="G14" s="1029"/>
      <c r="H14" s="1029"/>
      <c r="I14" s="12"/>
      <c r="J14" s="12"/>
      <c r="K14" s="12"/>
      <c r="L14" s="12"/>
      <c r="M14" s="12"/>
    </row>
    <row r="15" spans="1:13">
      <c r="A15" s="12"/>
      <c r="B15" s="522" t="s">
        <v>169</v>
      </c>
      <c r="C15" s="523"/>
      <c r="D15" s="1028"/>
      <c r="E15" s="1029"/>
      <c r="F15" s="1029"/>
      <c r="G15" s="1029"/>
      <c r="H15" s="1029"/>
      <c r="I15" s="12"/>
      <c r="J15" s="12"/>
      <c r="K15" s="12"/>
      <c r="L15" s="12"/>
      <c r="M15" s="12"/>
    </row>
    <row r="16" spans="1:13">
      <c r="A16" s="12"/>
      <c r="B16" s="522" t="s">
        <v>170</v>
      </c>
      <c r="C16" s="523"/>
      <c r="D16" s="1028"/>
      <c r="E16" s="1029"/>
      <c r="F16" s="1029"/>
      <c r="G16" s="1029"/>
      <c r="H16" s="1029"/>
      <c r="I16" s="12"/>
      <c r="J16" s="12"/>
      <c r="K16" s="12"/>
      <c r="L16" s="12"/>
      <c r="M16" s="12"/>
    </row>
    <row r="17" spans="1:13">
      <c r="A17" s="12"/>
      <c r="B17" s="522" t="s">
        <v>171</v>
      </c>
      <c r="C17" s="523"/>
      <c r="D17" s="1028"/>
      <c r="E17" s="1029"/>
      <c r="F17" s="1029"/>
      <c r="G17" s="1029"/>
      <c r="H17" s="1029"/>
      <c r="I17" s="12"/>
      <c r="J17" s="12"/>
      <c r="K17" s="12"/>
      <c r="L17" s="12"/>
      <c r="M17" s="12"/>
    </row>
    <row r="18" spans="1:13">
      <c r="A18" s="12"/>
      <c r="B18" s="522" t="s">
        <v>172</v>
      </c>
      <c r="C18" s="523"/>
      <c r="D18" s="1028"/>
      <c r="E18" s="1029"/>
      <c r="F18" s="1029"/>
      <c r="G18" s="1029"/>
      <c r="H18" s="1029"/>
      <c r="I18" s="12"/>
      <c r="J18" s="12"/>
      <c r="K18" s="12"/>
      <c r="L18" s="12"/>
      <c r="M18" s="12"/>
    </row>
    <row r="19" spans="1:13">
      <c r="A19" s="12"/>
      <c r="B19" s="12"/>
      <c r="C19" s="12"/>
      <c r="D19" s="12"/>
      <c r="E19" s="12"/>
      <c r="F19" s="12"/>
      <c r="G19" s="12"/>
      <c r="H19" s="12"/>
      <c r="I19" s="12"/>
      <c r="J19" s="12"/>
      <c r="K19" s="12"/>
      <c r="L19" s="12"/>
      <c r="M19" s="12"/>
    </row>
    <row r="20" spans="1:13">
      <c r="A20" s="12"/>
      <c r="B20" s="52"/>
      <c r="C20" s="12"/>
      <c r="D20" s="12"/>
      <c r="E20" s="12"/>
      <c r="F20" s="12"/>
      <c r="G20" s="12"/>
      <c r="H20" s="12"/>
      <c r="I20" s="12"/>
      <c r="J20" s="12"/>
      <c r="K20" s="12"/>
      <c r="L20" s="12"/>
    </row>
    <row r="21" spans="1:13">
      <c r="A21" s="12"/>
      <c r="B21" s="73" t="s">
        <v>173</v>
      </c>
      <c r="C21" s="12"/>
      <c r="D21" s="12"/>
      <c r="E21" s="12"/>
      <c r="F21" s="12"/>
      <c r="G21" s="12"/>
      <c r="H21" s="12"/>
      <c r="I21" s="12"/>
      <c r="J21" s="12"/>
      <c r="K21" s="12"/>
      <c r="L21" s="12"/>
    </row>
    <row r="22" spans="1:13">
      <c r="A22" s="12"/>
      <c r="B22" s="73" t="s">
        <v>174</v>
      </c>
      <c r="C22" s="12"/>
      <c r="D22" s="12"/>
      <c r="E22" s="12"/>
      <c r="F22" s="12"/>
      <c r="G22" s="12"/>
      <c r="H22" s="12"/>
      <c r="I22" s="12"/>
      <c r="J22" s="12"/>
      <c r="K22" s="12"/>
      <c r="L22" s="12"/>
    </row>
    <row r="23" spans="1:13">
      <c r="A23" s="12"/>
      <c r="B23" s="73" t="s">
        <v>175</v>
      </c>
      <c r="C23" s="12"/>
      <c r="D23" s="12"/>
      <c r="E23" s="12"/>
      <c r="F23" s="12"/>
      <c r="G23" s="12"/>
      <c r="H23" s="12"/>
      <c r="I23" s="12"/>
      <c r="J23" s="12"/>
      <c r="K23" s="12"/>
      <c r="L23" s="12"/>
    </row>
    <row r="24" spans="1:13">
      <c r="B24" s="73" t="s">
        <v>176</v>
      </c>
    </row>
    <row r="25" spans="1:13">
      <c r="B25" s="73" t="s">
        <v>177</v>
      </c>
    </row>
    <row r="26" spans="1:13" hidden="1">
      <c r="B26" s="73" t="s">
        <v>178</v>
      </c>
    </row>
    <row r="27" spans="1:13">
      <c r="B27" s="73" t="s">
        <v>179</v>
      </c>
    </row>
    <row r="28" spans="1:13" hidden="1">
      <c r="B28" s="73" t="s">
        <v>180</v>
      </c>
    </row>
    <row r="29" spans="1:13">
      <c r="B29" s="73" t="s">
        <v>181</v>
      </c>
    </row>
    <row r="30" spans="1:13">
      <c r="B30" s="73" t="s">
        <v>182</v>
      </c>
    </row>
    <row r="31" spans="1:13" hidden="1">
      <c r="B31" s="480" t="s">
        <v>183</v>
      </c>
    </row>
    <row r="32" spans="1:13">
      <c r="B32" s="73" t="s">
        <v>184</v>
      </c>
    </row>
    <row r="33" spans="2:5">
      <c r="B33" s="73" t="s">
        <v>185</v>
      </c>
    </row>
    <row r="35" spans="2:5">
      <c r="E35" s="73"/>
    </row>
  </sheetData>
  <sheetProtection algorithmName="SHA-512" hashValue="RaRR0aLkfzymGnBFr0mcfyW1qJCQIphnUtbnyDwmcQqQr5AjrAEMsycl31pq6zf9LDv0ydnYyMPgnGmqRdrx8A==" saltValue="kpWVdR6p4pfl0ClD1/l4OA==" spinCount="100000" sheet="1" objects="1" scenarios="1"/>
  <mergeCells count="11">
    <mergeCell ref="D13:H13"/>
    <mergeCell ref="D8:H8"/>
    <mergeCell ref="D9:H9"/>
    <mergeCell ref="D10:H10"/>
    <mergeCell ref="D11:H11"/>
    <mergeCell ref="D12:H12"/>
    <mergeCell ref="D14:H14"/>
    <mergeCell ref="D15:H15"/>
    <mergeCell ref="D16:H16"/>
    <mergeCell ref="D17:H17"/>
    <mergeCell ref="D18:H18"/>
  </mergeCells>
  <hyperlinks>
    <hyperlink ref="B21" location="'R1 - RoRE'!A1" display="R1 - RoRE" xr:uid="{00000000-0004-0000-0200-000000000000}"/>
    <hyperlink ref="B22" location="'R2 - Rec to Revenue and Profit'!A1" display="R2 - Rec to Revenue and Profit" xr:uid="{00000000-0004-0000-0200-000001000000}"/>
    <hyperlink ref="B23" location="'R3 - Totex - Reconciliation'!A1" display="R3 - Totex - Reconciliation" xr:uid="{00000000-0004-0000-0200-000002000000}"/>
    <hyperlink ref="B24" location="'R4 - Incentives and Other Rev'!A1" display="R4 - Incentives and Other Rev" xr:uid="{00000000-0004-0000-0200-000003000000}"/>
    <hyperlink ref="B25" location="'R5 - Financing'!A1" display="R5 - Financing" xr:uid="{00000000-0004-0000-0200-000004000000}"/>
    <hyperlink ref="B27" location="'R6 - Net Debt'!A1" display="R6 - Net Debt" xr:uid="{00000000-0004-0000-0200-000005000000}"/>
    <hyperlink ref="B29" location="'R7 - RAV'!A1" display="R7 - RAV" xr:uid="{00000000-0004-0000-0200-000006000000}"/>
    <hyperlink ref="B30" location="'R8 - Tax'!A1" display="R8 - Tax" xr:uid="{00000000-0004-0000-0200-000007000000}"/>
    <hyperlink ref="B26" location="'R5a - Financing input'!A1" display="R5a - Financing input" xr:uid="{00000000-0004-0000-0200-000008000000}"/>
    <hyperlink ref="B28" location="'R6a - Net Debt input'!A1" display="R6a - Net Debt input" xr:uid="{00000000-0004-0000-0200-000009000000}"/>
    <hyperlink ref="B32" location="'R9 - Corporate Governance'!A1" display="R9 - Corporate Governance" xr:uid="{00000000-0004-0000-0200-00000A000000}"/>
    <hyperlink ref="B33" location="'R10 - Pensions &amp; Oth Activities'!A1" display="R10 - Pensions &amp; other Activities" xr:uid="{00000000-0004-0000-0200-00000B000000}"/>
    <hyperlink ref="B31" location="'R8a - Tax Reconciliation'!A1" display="R8a - Tax Reconciliation" xr:uid="{6D0E9797-CD83-4C8E-A7B6-E14DABE203E5}"/>
  </hyperlinks>
  <pageMargins left="0.70866141732283472" right="0.70866141732283472" top="0.74803149606299213" bottom="0.74803149606299213" header="0.31496062992125984" footer="0.31496062992125984"/>
  <pageSetup scale="77"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5"/>
  <sheetViews>
    <sheetView showGridLines="0" zoomScaleNormal="100" workbookViewId="0">
      <pane ySplit="5" topLeftCell="A14" activePane="bottomLeft" state="frozen"/>
      <selection activeCell="D15" sqref="D15"/>
      <selection pane="bottomLeft" activeCell="B17" sqref="B17"/>
    </sheetView>
  </sheetViews>
  <sheetFormatPr defaultRowHeight="13.5"/>
  <cols>
    <col min="1" max="1" width="19.15234375" bestFit="1" customWidth="1"/>
    <col min="2" max="2" width="12.15234375" bestFit="1" customWidth="1"/>
    <col min="3" max="3" width="104.15234375" customWidth="1"/>
    <col min="4" max="4" width="35.4609375" customWidth="1"/>
  </cols>
  <sheetData>
    <row r="1" spans="1:4" ht="20">
      <c r="A1" s="15" t="s">
        <v>186</v>
      </c>
      <c r="B1" s="15"/>
      <c r="C1" s="15"/>
      <c r="D1" s="15"/>
    </row>
    <row r="2" spans="1:4" ht="20">
      <c r="A2" s="295" t="str">
        <f>Licensee</f>
        <v>NGGT (TO)</v>
      </c>
      <c r="B2" s="15"/>
      <c r="C2" s="15"/>
      <c r="D2" s="15"/>
    </row>
    <row r="3" spans="1:4" ht="20">
      <c r="A3" s="290">
        <f>Reporting_Year</f>
        <v>2022</v>
      </c>
      <c r="B3" s="15"/>
      <c r="C3" s="15"/>
      <c r="D3" s="15"/>
    </row>
    <row r="4" spans="1:4" ht="20">
      <c r="A4" s="268"/>
      <c r="B4" s="268"/>
      <c r="C4" s="268"/>
      <c r="D4" s="268"/>
    </row>
    <row r="5" spans="1:4" ht="28">
      <c r="A5" s="265" t="s">
        <v>187</v>
      </c>
      <c r="B5" s="266" t="s">
        <v>188</v>
      </c>
      <c r="C5" s="267" t="s">
        <v>189</v>
      </c>
    </row>
    <row r="6" spans="1:4" ht="35.15" customHeight="1">
      <c r="A6" s="770" t="s">
        <v>1119</v>
      </c>
      <c r="B6" s="770" t="s">
        <v>954</v>
      </c>
      <c r="C6" s="275" t="s">
        <v>955</v>
      </c>
    </row>
    <row r="7" spans="1:4" ht="30.75" customHeight="1">
      <c r="A7" s="770" t="s">
        <v>1119</v>
      </c>
      <c r="B7" s="770" t="s">
        <v>954</v>
      </c>
      <c r="C7" s="275" t="s">
        <v>1076</v>
      </c>
    </row>
    <row r="8" spans="1:4">
      <c r="A8" s="770" t="s">
        <v>1119</v>
      </c>
      <c r="B8" s="980" t="s">
        <v>1116</v>
      </c>
      <c r="C8" s="981" t="s">
        <v>1117</v>
      </c>
    </row>
    <row r="9" spans="1:4" ht="27">
      <c r="A9" s="770" t="s">
        <v>1119</v>
      </c>
      <c r="B9" s="770" t="s">
        <v>949</v>
      </c>
      <c r="C9" s="275" t="s">
        <v>951</v>
      </c>
    </row>
    <row r="10" spans="1:4" ht="35.5" customHeight="1">
      <c r="A10" s="770" t="s">
        <v>1119</v>
      </c>
      <c r="B10" s="770" t="s">
        <v>1115</v>
      </c>
      <c r="C10" s="275" t="s">
        <v>1114</v>
      </c>
    </row>
    <row r="11" spans="1:4" ht="169" customHeight="1">
      <c r="A11" s="770" t="s">
        <v>1119</v>
      </c>
      <c r="B11" s="770" t="s">
        <v>1118</v>
      </c>
      <c r="C11" s="275" t="s">
        <v>1120</v>
      </c>
    </row>
    <row r="12" spans="1:4" ht="78" customHeight="1">
      <c r="A12" s="770" t="s">
        <v>1119</v>
      </c>
      <c r="B12" s="770" t="s">
        <v>950</v>
      </c>
      <c r="C12" s="275" t="s">
        <v>952</v>
      </c>
    </row>
    <row r="13" spans="1:4">
      <c r="A13" s="770" t="s">
        <v>1119</v>
      </c>
      <c r="B13" s="770" t="s">
        <v>950</v>
      </c>
      <c r="C13" s="275" t="s">
        <v>953</v>
      </c>
    </row>
    <row r="14" spans="1:4" ht="148.5">
      <c r="A14" s="770" t="s">
        <v>1119</v>
      </c>
      <c r="B14" s="770" t="s">
        <v>1061</v>
      </c>
      <c r="C14" s="275" t="s">
        <v>1112</v>
      </c>
    </row>
    <row r="15" spans="1:4">
      <c r="A15" s="770" t="s">
        <v>1394</v>
      </c>
      <c r="B15" s="770" t="s">
        <v>1061</v>
      </c>
      <c r="C15" s="275" t="s">
        <v>1393</v>
      </c>
    </row>
    <row r="16" spans="1:4">
      <c r="A16" s="770"/>
      <c r="B16" s="770"/>
      <c r="C16" s="275"/>
    </row>
    <row r="17" spans="1:3">
      <c r="A17" s="770"/>
      <c r="B17" s="273"/>
      <c r="C17" s="275"/>
    </row>
    <row r="18" spans="1:3">
      <c r="A18" s="80"/>
      <c r="B18" s="273"/>
      <c r="C18" s="275"/>
    </row>
    <row r="19" spans="1:3">
      <c r="A19" s="81"/>
      <c r="B19" s="271"/>
      <c r="C19" s="74"/>
    </row>
    <row r="20" spans="1:3">
      <c r="A20" s="81"/>
      <c r="B20" s="271"/>
      <c r="C20" s="74"/>
    </row>
    <row r="21" spans="1:3">
      <c r="A21" s="81"/>
      <c r="B21" s="271"/>
      <c r="C21" s="74"/>
    </row>
    <row r="22" spans="1:3">
      <c r="A22" s="81"/>
      <c r="B22" s="271"/>
      <c r="C22" s="74"/>
    </row>
    <row r="23" spans="1:3">
      <c r="A23" s="81"/>
      <c r="B23" s="271"/>
      <c r="C23" s="74"/>
    </row>
    <row r="24" spans="1:3" ht="14" thickBot="1">
      <c r="A24" s="303"/>
      <c r="B24" s="304"/>
      <c r="C24" s="305"/>
    </row>
    <row r="25" spans="1:3">
      <c r="A25" s="300"/>
      <c r="B25" s="301"/>
      <c r="C25" s="302"/>
    </row>
    <row r="26" spans="1:3">
      <c r="A26" s="300"/>
      <c r="B26" s="271"/>
      <c r="C26" s="74"/>
    </row>
    <row r="27" spans="1:3">
      <c r="A27" s="81"/>
      <c r="B27" s="271"/>
      <c r="C27" s="74"/>
    </row>
    <row r="28" spans="1:3">
      <c r="A28" s="81"/>
      <c r="B28" s="271"/>
      <c r="C28" s="74"/>
    </row>
    <row r="29" spans="1:3">
      <c r="A29" s="81"/>
      <c r="B29" s="271"/>
      <c r="C29" s="74"/>
    </row>
    <row r="30" spans="1:3">
      <c r="A30" s="81"/>
      <c r="B30" s="271"/>
      <c r="C30" s="284"/>
    </row>
    <row r="31" spans="1:3">
      <c r="A31" s="81"/>
      <c r="B31" s="271"/>
      <c r="C31" s="74"/>
    </row>
    <row r="32" spans="1:3">
      <c r="A32" s="81"/>
      <c r="B32" s="271"/>
      <c r="C32" s="74"/>
    </row>
    <row r="33" spans="1:3">
      <c r="A33" s="82"/>
      <c r="B33" s="271"/>
      <c r="C33" s="74"/>
    </row>
    <row r="34" spans="1:3">
      <c r="A34" s="82"/>
      <c r="B34" s="285"/>
      <c r="C34" s="74"/>
    </row>
    <row r="35" spans="1:3">
      <c r="A35" s="82"/>
      <c r="B35" s="285"/>
      <c r="C35" s="74"/>
    </row>
    <row r="36" spans="1:3">
      <c r="A36" s="82"/>
      <c r="B36" s="285"/>
      <c r="C36" s="74"/>
    </row>
    <row r="37" spans="1:3">
      <c r="A37" s="82"/>
      <c r="B37" s="285"/>
      <c r="C37" s="74"/>
    </row>
    <row r="38" spans="1:3">
      <c r="A38" s="81"/>
      <c r="B38" s="285"/>
      <c r="C38" s="74"/>
    </row>
    <row r="39" spans="1:3">
      <c r="A39" s="82"/>
      <c r="B39" s="285"/>
      <c r="C39" s="74"/>
    </row>
    <row r="40" spans="1:3">
      <c r="A40" s="82"/>
      <c r="B40" s="285"/>
      <c r="C40" s="74"/>
    </row>
    <row r="41" spans="1:3">
      <c r="A41" s="82"/>
      <c r="B41" s="285"/>
      <c r="C41" s="74"/>
    </row>
    <row r="42" spans="1:3">
      <c r="A42" s="82"/>
      <c r="B42" s="271"/>
      <c r="C42" s="74"/>
    </row>
    <row r="43" spans="1:3">
      <c r="A43" s="82"/>
      <c r="B43" s="271"/>
      <c r="C43" s="74"/>
    </row>
    <row r="44" spans="1:3">
      <c r="A44" s="82"/>
      <c r="B44" s="271"/>
      <c r="C44" s="74"/>
    </row>
    <row r="45" spans="1:3">
      <c r="A45" s="82"/>
      <c r="B45" s="271"/>
      <c r="C45" s="74"/>
    </row>
    <row r="46" spans="1:3">
      <c r="A46" s="82"/>
      <c r="B46" s="271"/>
      <c r="C46" s="74"/>
    </row>
    <row r="47" spans="1:3">
      <c r="A47" s="82"/>
      <c r="B47" s="271"/>
      <c r="C47" s="74"/>
    </row>
    <row r="48" spans="1:3">
      <c r="A48" s="82"/>
      <c r="B48" s="271"/>
      <c r="C48" s="74"/>
    </row>
    <row r="49" spans="1:3">
      <c r="A49" s="82"/>
      <c r="B49" s="271"/>
      <c r="C49" s="74"/>
    </row>
    <row r="50" spans="1:3">
      <c r="A50" s="82"/>
      <c r="B50" s="271"/>
      <c r="C50" s="74"/>
    </row>
    <row r="51" spans="1:3">
      <c r="A51" s="82"/>
      <c r="B51" s="271"/>
      <c r="C51" s="74"/>
    </row>
    <row r="52" spans="1:3">
      <c r="A52" s="82"/>
      <c r="B52" s="286"/>
      <c r="C52" s="287"/>
    </row>
    <row r="53" spans="1:3">
      <c r="A53" s="82"/>
      <c r="B53" s="271"/>
      <c r="C53" s="74"/>
    </row>
    <row r="54" spans="1:3">
      <c r="A54" s="82"/>
      <c r="B54" s="271"/>
      <c r="C54" s="74"/>
    </row>
    <row r="55" spans="1:3">
      <c r="A55" s="82"/>
      <c r="B55" s="271"/>
      <c r="C55" s="74"/>
    </row>
    <row r="56" spans="1:3">
      <c r="A56" s="82"/>
      <c r="B56" s="271"/>
      <c r="C56" s="74"/>
    </row>
    <row r="57" spans="1:3">
      <c r="A57" s="82"/>
      <c r="B57" s="271"/>
      <c r="C57" s="284"/>
    </row>
    <row r="58" spans="1:3">
      <c r="A58" s="83"/>
      <c r="B58" s="272"/>
      <c r="C58" s="75"/>
    </row>
    <row r="59" spans="1:3">
      <c r="A59" s="83"/>
      <c r="B59" s="272"/>
      <c r="C59" s="75"/>
    </row>
    <row r="60" spans="1:3">
      <c r="A60" s="83"/>
      <c r="B60" s="272"/>
      <c r="C60" s="75"/>
    </row>
    <row r="61" spans="1:3">
      <c r="A61" s="83"/>
      <c r="B61" s="272"/>
      <c r="C61" s="75"/>
    </row>
    <row r="62" spans="1:3">
      <c r="A62" s="83"/>
      <c r="B62" s="272"/>
      <c r="C62" s="75"/>
    </row>
    <row r="63" spans="1:3">
      <c r="A63" s="83"/>
      <c r="B63" s="272"/>
      <c r="C63" s="75"/>
    </row>
    <row r="64" spans="1:3">
      <c r="A64" s="83"/>
      <c r="B64" s="272"/>
      <c r="C64" s="75"/>
    </row>
    <row r="65" spans="1:3">
      <c r="A65" s="83"/>
      <c r="B65" s="272"/>
      <c r="C65" s="75"/>
    </row>
  </sheetData>
  <sheetProtection algorithmName="SHA-512" hashValue="X3kgW6kQ0WAZKFAwHqiKqOVm9qbdBh8RCdXfQFQ+6elZj4k7nfW/BmWuJLW2TIjx/8CN0tr/aEAuMmoyxVevEQ==" saltValue="i33Hy53JjB2t72ZsW5LsWg==" spinCount="100000" sheet="1" objects="1" scenarios="1"/>
  <phoneticPr fontId="265" type="noConversion"/>
  <pageMargins left="0.70866141732283472" right="0.70866141732283472" top="0.74803149606299213" bottom="0.74803149606299213" header="0.31496062992125984" footer="0.31496062992125984"/>
  <pageSetup paperSize="8" scale="85" orientation="landscape" r:id="rId1"/>
  <headerFooter>
    <oddFooter>&amp;C_x000D_&amp;1#&amp;"Calibri"&amp;10&amp;K000000 OFFICIAL-InternalOnly</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C000"/>
    <pageSetUpPr fitToPage="1"/>
  </sheetPr>
  <dimension ref="A1:T94"/>
  <sheetViews>
    <sheetView showGridLines="0" zoomScale="90" zoomScaleNormal="90" workbookViewId="0">
      <pane ySplit="7" topLeftCell="A20" activePane="bottomLeft" state="frozen"/>
      <selection pane="bottomLeft" activeCell="K29" sqref="K29"/>
    </sheetView>
  </sheetViews>
  <sheetFormatPr defaultRowHeight="13.5"/>
  <cols>
    <col min="1" max="1" width="8.3828125" customWidth="1"/>
    <col min="2" max="2" width="63.3828125" style="52" customWidth="1"/>
    <col min="3" max="3" width="13.3828125" customWidth="1"/>
    <col min="4" max="8" width="10.61328125" style="24" customWidth="1"/>
    <col min="9" max="9" width="2.61328125" style="24" customWidth="1"/>
    <col min="10" max="11" width="13.765625" style="24" customWidth="1"/>
    <col min="12" max="12" width="5.15234375" customWidth="1"/>
    <col min="16" max="16" width="10.4609375" bestFit="1" customWidth="1"/>
  </cols>
  <sheetData>
    <row r="1" spans="1:20" ht="20">
      <c r="A1" s="677" t="s">
        <v>190</v>
      </c>
      <c r="B1" s="380"/>
      <c r="C1" s="381"/>
      <c r="D1" s="846"/>
      <c r="E1" s="846"/>
      <c r="F1" s="846"/>
      <c r="G1" s="847"/>
      <c r="H1" s="847"/>
      <c r="I1" s="848"/>
      <c r="J1" s="848"/>
      <c r="K1" s="848"/>
      <c r="L1" s="681" t="s">
        <v>157</v>
      </c>
    </row>
    <row r="2" spans="1:20" ht="20">
      <c r="A2" s="295" t="str">
        <f>Licensee</f>
        <v>NGGT (TO)</v>
      </c>
      <c r="B2" s="298"/>
      <c r="C2" s="290"/>
      <c r="D2" s="849"/>
      <c r="E2" s="849"/>
      <c r="F2" s="849"/>
      <c r="G2" s="850"/>
      <c r="H2" s="850"/>
      <c r="I2" s="851"/>
      <c r="J2" s="851"/>
      <c r="K2" s="851"/>
      <c r="L2" s="38"/>
    </row>
    <row r="3" spans="1:20" ht="20">
      <c r="A3" s="534">
        <f>Reporting_Year</f>
        <v>2022</v>
      </c>
      <c r="B3" s="524" t="str">
        <f>IF(Licensee=Data!$B$78,"Only required to be completed to show Operational Performance",IF(Licensee=Data!$B$81,"not required to be completed",""))</f>
        <v/>
      </c>
      <c r="C3" s="524"/>
      <c r="D3" s="852"/>
      <c r="E3" s="852"/>
      <c r="F3" s="852"/>
      <c r="G3" s="852"/>
      <c r="H3" s="852"/>
      <c r="I3" s="853"/>
      <c r="J3" s="853"/>
      <c r="K3" s="853"/>
      <c r="L3" s="68"/>
    </row>
    <row r="4" spans="1:20" ht="12.75" customHeight="1"/>
    <row r="5" spans="1:20">
      <c r="D5" s="512" t="str">
        <f t="shared" ref="D5:H5" si="0">IF(D6&lt;=Reporting_Year,"Actuals","Forecast")</f>
        <v>Actuals</v>
      </c>
      <c r="E5" s="512" t="str">
        <f t="shared" si="0"/>
        <v>Forecast</v>
      </c>
      <c r="F5" s="512" t="str">
        <f t="shared" si="0"/>
        <v>Forecast</v>
      </c>
      <c r="G5" s="512" t="str">
        <f t="shared" si="0"/>
        <v>Forecast</v>
      </c>
      <c r="H5" s="512" t="str">
        <f t="shared" si="0"/>
        <v>Forecast</v>
      </c>
      <c r="I5" s="337"/>
      <c r="J5" s="337"/>
    </row>
    <row r="6" spans="1:20" ht="31.5" customHeight="1">
      <c r="C6" s="50"/>
      <c r="D6" s="515">
        <f>RIIO_2_start_date</f>
        <v>2022</v>
      </c>
      <c r="E6" s="515">
        <f>D6+1</f>
        <v>2023</v>
      </c>
      <c r="F6" s="515">
        <f>E6+1</f>
        <v>2024</v>
      </c>
      <c r="G6" s="515">
        <f t="shared" ref="G6:H6" si="1">F6+1</f>
        <v>2025</v>
      </c>
      <c r="H6" s="515">
        <f t="shared" si="1"/>
        <v>2026</v>
      </c>
      <c r="J6" s="696" t="str">
        <f>"Cumulative to "&amp;'RFPR cover'!$C$9</f>
        <v>Cumulative to 2022</v>
      </c>
      <c r="K6" s="696" t="s">
        <v>191</v>
      </c>
    </row>
    <row r="7" spans="1:20">
      <c r="C7" s="50"/>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c r="I7" s="854"/>
      <c r="J7" s="854"/>
      <c r="K7" s="854"/>
      <c r="L7" s="50"/>
    </row>
    <row r="8" spans="1:20">
      <c r="C8" s="52"/>
      <c r="D8" s="337"/>
      <c r="E8" s="337"/>
      <c r="F8" s="337"/>
      <c r="G8" s="337"/>
      <c r="H8" s="337"/>
      <c r="I8" s="337"/>
      <c r="J8" s="337"/>
      <c r="K8" s="337"/>
      <c r="L8" s="52"/>
      <c r="M8" s="52"/>
      <c r="N8" s="52"/>
      <c r="O8" s="52"/>
      <c r="P8" s="52"/>
      <c r="Q8" s="52"/>
      <c r="R8" s="52"/>
      <c r="S8" s="52"/>
      <c r="T8" s="52"/>
    </row>
    <row r="9" spans="1:20">
      <c r="B9" s="229" t="s">
        <v>192</v>
      </c>
      <c r="C9" s="62"/>
      <c r="D9" s="230"/>
      <c r="E9" s="230"/>
      <c r="F9" s="230"/>
      <c r="G9" s="230"/>
      <c r="H9" s="230"/>
      <c r="I9" s="230"/>
      <c r="J9" s="230"/>
      <c r="K9" s="230"/>
      <c r="L9" s="62"/>
    </row>
    <row r="10" spans="1:20">
      <c r="B10" s="53"/>
    </row>
    <row r="11" spans="1:20">
      <c r="B11" s="419" t="s">
        <v>193</v>
      </c>
      <c r="C11" s="219" t="s">
        <v>194</v>
      </c>
      <c r="D11" s="855">
        <f>IFERROR(Equity_Return_on_the_RAV/NPV_neutral_equity_element_of_RAV,0)</f>
        <v>4.5181881000000007E-2</v>
      </c>
      <c r="E11" s="855">
        <f>IFERROR(Equity_Return_on_the_RAV/NPV_neutral_equity_element_of_RAV,0)</f>
        <v>4.5568105000000005E-2</v>
      </c>
      <c r="F11" s="855">
        <f>IFERROR(Equity_Return_on_the_RAV/NPV_neutral_equity_element_of_RAV,0)</f>
        <v>4.5399131999999995E-2</v>
      </c>
      <c r="G11" s="855">
        <f>IFERROR(Equity_Return_on_the_RAV/NPV_neutral_equity_element_of_RAV,0)</f>
        <v>4.564052200000001E-2</v>
      </c>
      <c r="H11" s="855">
        <f>IFERROR(Equity_Return_on_the_RAV/NPV_neutral_equity_element_of_RAV,0)</f>
        <v>4.5833633999999998E-2</v>
      </c>
      <c r="I11" s="856"/>
      <c r="J11" s="855">
        <f>IFERROR(AVERAGE(D65:INDEX(D65:H65,0,MATCH('RFPR cover'!$C$9,$D$6:$H$6,0)))/AVERAGE($D$90:INDEX($D$90:$H$90,0,MATCH('RFPR cover'!$C$9,$D$6:$H$6,0))),0)</f>
        <v>4.5181881000000007E-2</v>
      </c>
      <c r="K11" s="855">
        <f t="shared" ref="K11:K21" si="2">IFERROR(AVERAGE(D65:H65)/AVERAGE($D$90:$H$90),0)</f>
        <v>4.5521885716722638E-2</v>
      </c>
    </row>
    <row r="12" spans="1:20">
      <c r="B12" s="419" t="str">
        <f t="shared" ref="B12:B18" si="3">B66</f>
        <v>Totex outperformance</v>
      </c>
      <c r="C12" s="219" t="s">
        <v>194</v>
      </c>
      <c r="D12" s="857">
        <f>IFERROR(Totex_outperformance/NPV_neutral_equity_element_of_RAV,0)</f>
        <v>-3.9614884386094309E-3</v>
      </c>
      <c r="E12" s="857">
        <f>IFERROR(Totex_outperformance/NPV_neutral_equity_element_of_RAV,0)</f>
        <v>1.1194665912634565E-3</v>
      </c>
      <c r="F12" s="857">
        <f>IFERROR(Totex_outperformance/NPV_neutral_equity_element_of_RAV,0)</f>
        <v>3.2218062477243296E-3</v>
      </c>
      <c r="G12" s="857">
        <f>IFERROR(Totex_outperformance/NPV_neutral_equity_element_of_RAV,0)</f>
        <v>1.3237101690068602E-3</v>
      </c>
      <c r="H12" s="857">
        <f>IFERROR(Totex_outperformance/NPV_neutral_equity_element_of_RAV,0)</f>
        <v>1.0961794398386107E-3</v>
      </c>
      <c r="I12" s="856"/>
      <c r="J12" s="855">
        <f>IFERROR(AVERAGE(D66:INDEX(D66:H66,0,MATCH('RFPR cover'!$C$9,$D$6:$H$6,0)))/AVERAGE($D$90:INDEX($D$90:$H$90,0,MATCH('RFPR cover'!$C$9,$D$6:$H$6,0))),0)</f>
        <v>-3.9614884386094309E-3</v>
      </c>
      <c r="K12" s="855">
        <f t="shared" si="2"/>
        <v>5.4431829445661069E-4</v>
      </c>
      <c r="M12" s="51"/>
    </row>
    <row r="13" spans="1:20">
      <c r="A13" s="49" t="s">
        <v>195</v>
      </c>
      <c r="B13" s="419" t="str">
        <f t="shared" si="3"/>
        <v>Business Plan Incentive</v>
      </c>
      <c r="C13" s="219" t="s">
        <v>194</v>
      </c>
      <c r="D13" s="857">
        <f>IFERROR(Business_Plan_Incentive/NPV_neutral_equity_element_of_RAV,0)</f>
        <v>-1.8816632325387131E-3</v>
      </c>
      <c r="E13" s="857">
        <f>IFERROR(Business_Plan_Incentive/NPV_neutral_equity_element_of_RAV,0)</f>
        <v>-1.9032255899498903E-3</v>
      </c>
      <c r="F13" s="857">
        <f>IFERROR(Business_Plan_Incentive/NPV_neutral_equity_element_of_RAV,0)</f>
        <v>-1.90570074429483E-3</v>
      </c>
      <c r="G13" s="857">
        <f>IFERROR(Business_Plan_Incentive/NPV_neutral_equity_element_of_RAV,0)</f>
        <v>-1.920350564260229E-3</v>
      </c>
      <c r="H13" s="857">
        <f>IFERROR(Business_Plan_Incentive/NPV_neutral_equity_element_of_RAV,0)</f>
        <v>-1.9601323917513591E-3</v>
      </c>
      <c r="I13" s="856"/>
      <c r="J13" s="855">
        <f>IFERROR(AVERAGE(D67:INDEX(D67:H67,0,MATCH('RFPR cover'!$C$9,$D$6:$H$6,0)))/AVERAGE($D$90:INDEX($D$90:$H$90,0,MATCH('RFPR cover'!$C$9,$D$6:$H$6,0))),0)</f>
        <v>-1.8816632325387131E-3</v>
      </c>
      <c r="K13" s="855">
        <f t="shared" si="2"/>
        <v>-1.9138625953820166E-3</v>
      </c>
    </row>
    <row r="14" spans="1:20">
      <c r="A14" s="49" t="s">
        <v>196</v>
      </c>
      <c r="B14" s="419" t="str">
        <f t="shared" si="3"/>
        <v>Customer satisfaction survey ODI</v>
      </c>
      <c r="C14" s="219" t="s">
        <v>194</v>
      </c>
      <c r="D14" s="857">
        <f>IFERROR(ODI_1/NPV_neutral_equity_element_of_RAV,0)</f>
        <v>1.5807011944235097E-3</v>
      </c>
      <c r="E14" s="857">
        <f>IFERROR(ODI_1/NPV_neutral_equity_element_of_RAV,0)</f>
        <v>1.598814767312134E-3</v>
      </c>
      <c r="F14" s="857">
        <f>IFERROR(ODI_1/NPV_neutral_equity_element_of_RAV,0)</f>
        <v>1.6008940338683234E-3</v>
      </c>
      <c r="G14" s="857">
        <f>IFERROR(ODI_1/NPV_neutral_equity_element_of_RAV,0)</f>
        <v>1.6132006929542601E-3</v>
      </c>
      <c r="H14" s="857">
        <f>IFERROR(ODI_1/NPV_neutral_equity_element_of_RAV,0)</f>
        <v>1.6466196284705471E-3</v>
      </c>
      <c r="I14" s="856"/>
      <c r="J14" s="855">
        <f>IFERROR(AVERAGE(D68:INDEX(D68:H68,0,MATCH('RFPR cover'!$C$9,$D$6:$H$6,0)))/AVERAGE($D$90:INDEX($D$90:$H$90,0,MATCH('RFPR cover'!$C$9,$D$6:$H$6,0))),0)</f>
        <v>1.5807011944235097E-3</v>
      </c>
      <c r="K14" s="855">
        <f t="shared" si="2"/>
        <v>1.6077504402321849E-3</v>
      </c>
    </row>
    <row r="15" spans="1:20">
      <c r="A15" s="49" t="s">
        <v>197</v>
      </c>
      <c r="B15" s="419" t="str">
        <f t="shared" si="3"/>
        <v>Environmental scorecard ODI</v>
      </c>
      <c r="C15" s="219" t="s">
        <v>194</v>
      </c>
      <c r="D15" s="857">
        <f>IFERROR(ODI_2/NPV_neutral_equity_element_of_RAV,0)</f>
        <v>2.2483844351911791E-5</v>
      </c>
      <c r="E15" s="857">
        <f>IFERROR(ODI_2/NPV_neutral_equity_element_of_RAV,0)</f>
        <v>5.2635877113156675E-5</v>
      </c>
      <c r="F15" s="857">
        <f>IFERROR(ODI_2/NPV_neutral_equity_element_of_RAV,0)</f>
        <v>5.270433033311352E-5</v>
      </c>
      <c r="G15" s="857">
        <f>IFERROR(ODI_2/NPV_neutral_equity_element_of_RAV,0)</f>
        <v>5.31094878338851E-5</v>
      </c>
      <c r="H15" s="857">
        <f>IFERROR(ODI_2/NPV_neutral_equity_element_of_RAV,0)</f>
        <v>5.4209699702734055E-5</v>
      </c>
      <c r="I15" s="856"/>
      <c r="J15" s="855">
        <f>IFERROR(AVERAGE(D69:INDEX(D69:H69,0,MATCH('RFPR cover'!$C$9,$D$6:$H$6,0)))/AVERAGE($D$90:INDEX($D$90:$H$90,0,MATCH('RFPR cover'!$C$9,$D$6:$H$6,0))),0)</f>
        <v>2.2483844351911791E-5</v>
      </c>
      <c r="K15" s="855">
        <f t="shared" si="2"/>
        <v>4.6917762912065165E-5</v>
      </c>
    </row>
    <row r="16" spans="1:20">
      <c r="A16" s="49" t="s">
        <v>198</v>
      </c>
      <c r="B16" s="419" t="str">
        <f t="shared" si="3"/>
        <v/>
      </c>
      <c r="C16" s="219" t="s">
        <v>194</v>
      </c>
      <c r="D16" s="857">
        <f>IFERROR(ODI_3/NPV_neutral_equity_element_of_RAV,0)</f>
        <v>0</v>
      </c>
      <c r="E16" s="857">
        <f>IFERROR(ODI_3/NPV_neutral_equity_element_of_RAV,0)</f>
        <v>0</v>
      </c>
      <c r="F16" s="857">
        <f>IFERROR(ODI_3/NPV_neutral_equity_element_of_RAV,0)</f>
        <v>0</v>
      </c>
      <c r="G16" s="857">
        <f>IFERROR(ODI_3/NPV_neutral_equity_element_of_RAV,0)</f>
        <v>0</v>
      </c>
      <c r="H16" s="857">
        <f>IFERROR(ODI_3/NPV_neutral_equity_element_of_RAV,0)</f>
        <v>0</v>
      </c>
      <c r="I16" s="856"/>
      <c r="J16" s="855">
        <f>IFERROR(AVERAGE(D70:INDEX(D70:H70,0,MATCH('RFPR cover'!$C$9,$D$6:$H$6,0)))/AVERAGE($D$90:INDEX($D$90:$H$90,0,MATCH('RFPR cover'!$C$9,$D$6:$H$6,0))),0)</f>
        <v>0</v>
      </c>
      <c r="K16" s="855">
        <f t="shared" si="2"/>
        <v>0</v>
      </c>
    </row>
    <row r="17" spans="1:11">
      <c r="A17" s="49" t="s">
        <v>199</v>
      </c>
      <c r="B17" s="419" t="str">
        <f t="shared" si="3"/>
        <v/>
      </c>
      <c r="C17" s="219" t="s">
        <v>194</v>
      </c>
      <c r="D17" s="857">
        <f>IFERROR(ODI_4/NPV_neutral_equity_element_of_RAV,0)</f>
        <v>0</v>
      </c>
      <c r="E17" s="857">
        <f>IFERROR(ODI_4/NPV_neutral_equity_element_of_RAV,0)</f>
        <v>0</v>
      </c>
      <c r="F17" s="857">
        <f>IFERROR(ODI_4/NPV_neutral_equity_element_of_RAV,0)</f>
        <v>0</v>
      </c>
      <c r="G17" s="857">
        <f>IFERROR(ODI_4/NPV_neutral_equity_element_of_RAV,0)</f>
        <v>0</v>
      </c>
      <c r="H17" s="857">
        <f>IFERROR(ODI_4/NPV_neutral_equity_element_of_RAV,0)</f>
        <v>0</v>
      </c>
      <c r="I17" s="856"/>
      <c r="J17" s="855">
        <f>IFERROR(AVERAGE(D71:INDEX(D71:H71,0,MATCH('RFPR cover'!$C$9,$D$6:$H$6,0)))/AVERAGE($D$90:INDEX($D$90:$H$90,0,MATCH('RFPR cover'!$C$9,$D$6:$H$6,0))),0)</f>
        <v>0</v>
      </c>
      <c r="K17" s="855">
        <f t="shared" si="2"/>
        <v>0</v>
      </c>
    </row>
    <row r="18" spans="1:11">
      <c r="A18" s="49" t="s">
        <v>200</v>
      </c>
      <c r="B18" s="419" t="str">
        <f t="shared" si="3"/>
        <v/>
      </c>
      <c r="C18" s="219" t="s">
        <v>194</v>
      </c>
      <c r="D18" s="857">
        <f>IFERROR(ODI_5/NPV_neutral_equity_element_of_RAV,0)</f>
        <v>0</v>
      </c>
      <c r="E18" s="857">
        <f>IFERROR(ODI_5/NPV_neutral_equity_element_of_RAV,0)</f>
        <v>0</v>
      </c>
      <c r="F18" s="857">
        <f>IFERROR(ODI_5/NPV_neutral_equity_element_of_RAV,0)</f>
        <v>0</v>
      </c>
      <c r="G18" s="857">
        <f>IFERROR(ODI_5/NPV_neutral_equity_element_of_RAV,0)</f>
        <v>0</v>
      </c>
      <c r="H18" s="857">
        <f>IFERROR(ODI_5/NPV_neutral_equity_element_of_RAV,0)</f>
        <v>0</v>
      </c>
      <c r="I18" s="856"/>
      <c r="J18" s="855">
        <f>IFERROR(AVERAGE(D72:INDEX(D72:H72,0,MATCH('RFPR cover'!$C$9,$D$6:$H$6,0)))/AVERAGE($D$90:INDEX($D$90:$H$90,0,MATCH('RFPR cover'!$C$9,$D$6:$H$6,0))),0)</f>
        <v>0</v>
      </c>
      <c r="K18" s="855">
        <f t="shared" si="2"/>
        <v>0</v>
      </c>
    </row>
    <row r="19" spans="1:11">
      <c r="A19" s="49" t="s">
        <v>201</v>
      </c>
      <c r="B19" s="419" t="str">
        <f>B73</f>
        <v/>
      </c>
      <c r="C19" s="219" t="s">
        <v>194</v>
      </c>
      <c r="D19" s="857">
        <f>IFERROR(ODI_6/NPV_neutral_equity_element_of_RAV,0)</f>
        <v>0</v>
      </c>
      <c r="E19" s="857">
        <f>IFERROR(ODI_6/NPV_neutral_equity_element_of_RAV,0)</f>
        <v>0</v>
      </c>
      <c r="F19" s="857">
        <f>IFERROR(ODI_6/NPV_neutral_equity_element_of_RAV,0)</f>
        <v>0</v>
      </c>
      <c r="G19" s="857">
        <f>IFERROR(ODI_6/NPV_neutral_equity_element_of_RAV,0)</f>
        <v>0</v>
      </c>
      <c r="H19" s="857">
        <f>IFERROR(ODI_6/NPV_neutral_equity_element_of_RAV,0)</f>
        <v>0</v>
      </c>
      <c r="I19" s="856"/>
      <c r="J19" s="855">
        <f>IFERROR(AVERAGE(D73:INDEX(D73:H73,0,MATCH('RFPR cover'!$C$9,$D$6:$H$6,0)))/AVERAGE($D$90:INDEX($D$90:$H$90,0,MATCH('RFPR cover'!$C$9,$D$6:$H$6,0))),0)</f>
        <v>0</v>
      </c>
      <c r="K19" s="855">
        <f t="shared" si="2"/>
        <v>0</v>
      </c>
    </row>
    <row r="20" spans="1:11">
      <c r="A20" s="49" t="s">
        <v>202</v>
      </c>
      <c r="B20" s="419" t="str">
        <f t="shared" ref="B20" si="4">B74</f>
        <v>Network innovation input for RORE</v>
      </c>
      <c r="C20" s="219" t="s">
        <v>194</v>
      </c>
      <c r="D20" s="857">
        <f>IFERROR(ORA_1/NPV_neutral_equity_element_of_RAV,0)</f>
        <v>-8.6931456012094403E-5</v>
      </c>
      <c r="E20" s="857">
        <f>IFERROR(ORA_1/NPV_neutral_equity_element_of_RAV,0)</f>
        <v>-4.6047619827826569E-4</v>
      </c>
      <c r="F20" s="857">
        <f>IFERROR(ORA_1/NPV_neutral_equity_element_of_RAV,0)</f>
        <v>-2.1960137638797302E-4</v>
      </c>
      <c r="G20" s="857">
        <f>IFERROR(ORA_1/NPV_neutral_equity_element_of_RAV,0)</f>
        <v>-2.2142230636077267E-4</v>
      </c>
      <c r="H20" s="857">
        <f>IFERROR(ORA_1/NPV_neutral_equity_element_of_RAV,0)</f>
        <v>-2.2600927301064878E-4</v>
      </c>
      <c r="I20" s="856"/>
      <c r="J20" s="855">
        <f>IFERROR(AVERAGE(D74:INDEX(D74:H74,0,MATCH('RFPR cover'!$C$9,$D$6:$H$6,0)))/AVERAGE($D$90:INDEX($D$90:$H$90,0,MATCH('RFPR cover'!$C$9,$D$6:$H$6,0))),0)</f>
        <v>-8.6931456012094403E-5</v>
      </c>
      <c r="K20" s="855">
        <f t="shared" si="2"/>
        <v>-2.4267183177103903E-4</v>
      </c>
    </row>
    <row r="21" spans="1:11">
      <c r="A21" s="49" t="s">
        <v>203</v>
      </c>
      <c r="B21" s="419" t="str">
        <f t="shared" ref="B21" si="5">B75</f>
        <v>Carry-over Network innovation input for RORE</v>
      </c>
      <c r="C21" s="219" t="s">
        <v>194</v>
      </c>
      <c r="D21" s="857">
        <f>IFERROR(ORA_2/NPV_neutral_equity_element_of_RAV,0)</f>
        <v>-4.8719150282082513E-6</v>
      </c>
      <c r="E21" s="857">
        <f>IFERROR(ORA_2/NPV_neutral_equity_element_of_RAV,0)</f>
        <v>0</v>
      </c>
      <c r="F21" s="857">
        <f>IFERROR(ORA_2/NPV_neutral_equity_element_of_RAV,0)</f>
        <v>0</v>
      </c>
      <c r="G21" s="857">
        <f>IFERROR(ORA_2/NPV_neutral_equity_element_of_RAV,0)</f>
        <v>0</v>
      </c>
      <c r="H21" s="857">
        <f>IFERROR(ORA_2/NPV_neutral_equity_element_of_RAV,0)</f>
        <v>0</v>
      </c>
      <c r="I21" s="856"/>
      <c r="J21" s="855">
        <f>IFERROR(AVERAGE(D75:INDEX(D75:H75,0,MATCH('RFPR cover'!$C$9,$D$6:$H$6,0)))/AVERAGE($D$90:INDEX($D$90:$H$90,0,MATCH('RFPR cover'!$C$9,$D$6:$H$6,0))),0)</f>
        <v>-4.8719150282082513E-6</v>
      </c>
      <c r="K21" s="855">
        <f t="shared" si="2"/>
        <v>-9.9105682452935536E-7</v>
      </c>
    </row>
    <row r="22" spans="1:11">
      <c r="A22" s="49" t="s">
        <v>204</v>
      </c>
      <c r="B22" s="419" t="str">
        <f t="shared" ref="B22:B27" si="6">B76</f>
        <v>Strategic innovation input for RORE</v>
      </c>
      <c r="C22" s="219" t="s">
        <v>194</v>
      </c>
      <c r="D22" s="857">
        <f>IFERROR(ORA_3/NPV_neutral_equity_element_of_RAV,0)</f>
        <v>0</v>
      </c>
      <c r="E22" s="857">
        <f>IFERROR(ORA_3/NPV_neutral_equity_element_of_RAV,0)</f>
        <v>0</v>
      </c>
      <c r="F22" s="857">
        <f>IFERROR(ORA_3/NPV_neutral_equity_element_of_RAV,0)</f>
        <v>0</v>
      </c>
      <c r="G22" s="857">
        <f>IFERROR(ORA_3/NPV_neutral_equity_element_of_RAV,0)</f>
        <v>0</v>
      </c>
      <c r="H22" s="857">
        <f>IFERROR(ORA_3/NPV_neutral_equity_element_of_RAV,0)</f>
        <v>0</v>
      </c>
      <c r="I22" s="856"/>
      <c r="J22" s="855">
        <f>IFERROR(AVERAGE(D76:INDEX(D76:H76,0,MATCH('RFPR cover'!$C$9,$D$6:$H$6,0)))/AVERAGE($D$90:INDEX($D$90:$H$90,0,MATCH('RFPR cover'!$C$9,$D$6:$H$6,0))),0)</f>
        <v>0</v>
      </c>
      <c r="K22" s="855">
        <f>IFERROR(AVERAGE(D76:H76)/AVERAGE($D$90:$H$90),0)</f>
        <v>0</v>
      </c>
    </row>
    <row r="23" spans="1:11">
      <c r="A23" s="49" t="s">
        <v>205</v>
      </c>
      <c r="B23" s="419" t="str">
        <f t="shared" si="6"/>
        <v/>
      </c>
      <c r="C23" s="219" t="s">
        <v>194</v>
      </c>
      <c r="D23" s="857">
        <f>IFERROR(ORA_4/NPV_neutral_equity_element_of_RAV,0)</f>
        <v>0</v>
      </c>
      <c r="E23" s="857">
        <f>IFERROR(ORA_4/NPV_neutral_equity_element_of_RAV,0)</f>
        <v>0</v>
      </c>
      <c r="F23" s="857">
        <f>IFERROR(ORA_4/NPV_neutral_equity_element_of_RAV,0)</f>
        <v>0</v>
      </c>
      <c r="G23" s="857">
        <f>IFERROR(ORA_4/NPV_neutral_equity_element_of_RAV,0)</f>
        <v>0</v>
      </c>
      <c r="H23" s="857">
        <f>IFERROR(ORA_4/NPV_neutral_equity_element_of_RAV,0)</f>
        <v>0</v>
      </c>
      <c r="I23" s="856"/>
      <c r="J23" s="855">
        <f>IFERROR(AVERAGE(D77:INDEX(D77:H77,0,MATCH('RFPR cover'!$C$9,$D$6:$H$6,0)))/AVERAGE($D$90:INDEX($D$90:$H$90,0,MATCH('RFPR cover'!$C$9,$D$6:$H$6,0))),0)</f>
        <v>0</v>
      </c>
      <c r="K23" s="855">
        <f t="shared" ref="K23:K28" si="7">IFERROR(AVERAGE(D77:H77)/AVERAGE($D$90:$H$90),0)</f>
        <v>0</v>
      </c>
    </row>
    <row r="24" spans="1:11">
      <c r="A24" s="49" t="s">
        <v>206</v>
      </c>
      <c r="B24" s="419" t="str">
        <f t="shared" si="6"/>
        <v/>
      </c>
      <c r="C24" s="219" t="s">
        <v>194</v>
      </c>
      <c r="D24" s="857">
        <f>IFERROR(ORA_5/NPV_neutral_equity_element_of_RAV,0)</f>
        <v>0</v>
      </c>
      <c r="E24" s="857">
        <f>IFERROR(ORA_5/NPV_neutral_equity_element_of_RAV,0)</f>
        <v>0</v>
      </c>
      <c r="F24" s="857">
        <f>IFERROR(ORA_5/NPV_neutral_equity_element_of_RAV,0)</f>
        <v>0</v>
      </c>
      <c r="G24" s="857">
        <f>IFERROR(ORA_5/NPV_neutral_equity_element_of_RAV,0)</f>
        <v>0</v>
      </c>
      <c r="H24" s="857">
        <f>IFERROR(ORA_5/NPV_neutral_equity_element_of_RAV,0)</f>
        <v>0</v>
      </c>
      <c r="I24" s="856"/>
      <c r="J24" s="855">
        <f>IFERROR(AVERAGE(D78:INDEX(D78:H78,0,MATCH('RFPR cover'!$C$9,$D$6:$H$6,0)))/AVERAGE($D$90:INDEX($D$90:$H$90,0,MATCH('RFPR cover'!$C$9,$D$6:$H$6,0))),0)</f>
        <v>0</v>
      </c>
      <c r="K24" s="855">
        <f t="shared" si="7"/>
        <v>0</v>
      </c>
    </row>
    <row r="25" spans="1:11">
      <c r="A25" s="49" t="s">
        <v>207</v>
      </c>
      <c r="B25" s="419" t="str">
        <f t="shared" si="6"/>
        <v/>
      </c>
      <c r="C25" s="219" t="s">
        <v>194</v>
      </c>
      <c r="D25" s="857">
        <f>IFERROR(ORA_6/NPV_neutral_equity_element_of_RAV,0)</f>
        <v>0</v>
      </c>
      <c r="E25" s="857">
        <f>IFERROR(ORA_6/NPV_neutral_equity_element_of_RAV,0)</f>
        <v>0</v>
      </c>
      <c r="F25" s="857">
        <f>IFERROR(ORA_6/NPV_neutral_equity_element_of_RAV,0)</f>
        <v>0</v>
      </c>
      <c r="G25" s="857">
        <f>IFERROR(ORA_6/NPV_neutral_equity_element_of_RAV,0)</f>
        <v>0</v>
      </c>
      <c r="H25" s="857">
        <f>IFERROR(ORA_6/NPV_neutral_equity_element_of_RAV,0)</f>
        <v>0</v>
      </c>
      <c r="I25" s="856"/>
      <c r="J25" s="855">
        <f>IFERROR(AVERAGE(D79:INDEX(D79:H79,0,MATCH('RFPR cover'!$C$9,$D$6:$H$6,0)))/AVERAGE($D$90:INDEX($D$90:$H$90,0,MATCH('RFPR cover'!$C$9,$D$6:$H$6,0))),0)</f>
        <v>0</v>
      </c>
      <c r="K25" s="855">
        <f t="shared" si="7"/>
        <v>0</v>
      </c>
    </row>
    <row r="26" spans="1:11">
      <c r="A26" s="49" t="s">
        <v>208</v>
      </c>
      <c r="B26" s="419" t="str">
        <f t="shared" si="6"/>
        <v/>
      </c>
      <c r="C26" s="219" t="s">
        <v>194</v>
      </c>
      <c r="D26" s="857">
        <f>IFERROR(ORA_7/NPV_neutral_equity_element_of_RAV,0)</f>
        <v>0</v>
      </c>
      <c r="E26" s="857">
        <f>IFERROR(ORA_7/NPV_neutral_equity_element_of_RAV,0)</f>
        <v>0</v>
      </c>
      <c r="F26" s="857">
        <f>IFERROR(ORA_7/NPV_neutral_equity_element_of_RAV,0)</f>
        <v>0</v>
      </c>
      <c r="G26" s="857">
        <f>IFERROR(ORA_7/NPV_neutral_equity_element_of_RAV,0)</f>
        <v>0</v>
      </c>
      <c r="H26" s="857">
        <f>IFERROR(ORA_7/NPV_neutral_equity_element_of_RAV,0)</f>
        <v>0</v>
      </c>
      <c r="I26" s="856"/>
      <c r="J26" s="855">
        <f>IFERROR(AVERAGE(D80:INDEX(D80:H80,0,MATCH('RFPR cover'!$C$9,$D$6:$H$6,0)))/AVERAGE($D$90:INDEX($D$90:$H$90,0,MATCH('RFPR cover'!$C$9,$D$6:$H$6,0))),0)</f>
        <v>0</v>
      </c>
      <c r="K26" s="855">
        <f t="shared" si="7"/>
        <v>0</v>
      </c>
    </row>
    <row r="27" spans="1:11">
      <c r="A27" s="49" t="s">
        <v>209</v>
      </c>
      <c r="B27" s="419" t="str">
        <f t="shared" si="6"/>
        <v/>
      </c>
      <c r="C27" s="219" t="s">
        <v>194</v>
      </c>
      <c r="D27" s="857">
        <f>IFERROR(ORA_8/NPV_neutral_equity_element_of_RAV,0)</f>
        <v>0</v>
      </c>
      <c r="E27" s="857">
        <f>IFERROR(ORA_8/NPV_neutral_equity_element_of_RAV,0)</f>
        <v>0</v>
      </c>
      <c r="F27" s="857">
        <f>IFERROR(ORA_8/NPV_neutral_equity_element_of_RAV,0)</f>
        <v>0</v>
      </c>
      <c r="G27" s="857">
        <f>IFERROR(ORA_8/NPV_neutral_equity_element_of_RAV,0)</f>
        <v>0</v>
      </c>
      <c r="H27" s="857">
        <f>IFERROR(ORA_8/NPV_neutral_equity_element_of_RAV,0)</f>
        <v>0</v>
      </c>
      <c r="I27" s="856"/>
      <c r="J27" s="855">
        <f>IFERROR(AVERAGE(D81:INDEX(D81:H81,0,MATCH('RFPR cover'!$C$9,$D$6:$H$6,0)))/AVERAGE($D$90:INDEX($D$90:$H$90,0,MATCH('RFPR cover'!$C$9,$D$6:$H$6,0))),0)</f>
        <v>0</v>
      </c>
      <c r="K27" s="855">
        <f t="shared" si="7"/>
        <v>0</v>
      </c>
    </row>
    <row r="28" spans="1:11" ht="14" thickBot="1">
      <c r="B28" s="419" t="str">
        <f t="shared" ref="B28:B30" si="8">B82</f>
        <v>Penalties and fines (Other Activities)</v>
      </c>
      <c r="C28" s="219" t="s">
        <v>194</v>
      </c>
      <c r="D28" s="858">
        <f>IFERROR(Penalties_and_fines/NPV_neutral_equity_element_of_RAV,0)</f>
        <v>0</v>
      </c>
      <c r="E28" s="858">
        <f>IFERROR(Penalties_and_fines/NPV_neutral_equity_element_of_RAV,0)</f>
        <v>0</v>
      </c>
      <c r="F28" s="858">
        <f>IFERROR(Penalties_and_fines/NPV_neutral_equity_element_of_RAV,0)</f>
        <v>0</v>
      </c>
      <c r="G28" s="858">
        <f>IFERROR(Penalties_and_fines/NPV_neutral_equity_element_of_RAV,0)</f>
        <v>0</v>
      </c>
      <c r="H28" s="858">
        <f>IFERROR(Penalties_and_fines/NPV_neutral_equity_element_of_RAV,0)</f>
        <v>0</v>
      </c>
      <c r="I28" s="856"/>
      <c r="J28" s="855">
        <f>IFERROR(AVERAGE(D82:INDEX(D82:H82,0,MATCH('RFPR cover'!$C$9,$D$6:$H$6,0)))/AVERAGE($D$90:INDEX($D$90:$H$90,0,MATCH('RFPR cover'!$C$9,$D$6:$H$6,0))),0)</f>
        <v>0</v>
      </c>
      <c r="K28" s="855">
        <f t="shared" si="7"/>
        <v>0</v>
      </c>
    </row>
    <row r="29" spans="1:11" ht="14" thickBot="1">
      <c r="B29" s="420" t="str">
        <f t="shared" si="8"/>
        <v>RoRE - Operational performance</v>
      </c>
      <c r="C29" s="219" t="s">
        <v>194</v>
      </c>
      <c r="D29" s="859">
        <f>SUM(D11:D28)</f>
        <v>4.0850110996586975E-2</v>
      </c>
      <c r="E29" s="860">
        <f t="shared" ref="E29:H29" si="9">SUM(E11:E28)</f>
        <v>4.5975320447460596E-2</v>
      </c>
      <c r="F29" s="860">
        <f t="shared" si="9"/>
        <v>4.8149234491242955E-2</v>
      </c>
      <c r="G29" s="860">
        <f t="shared" si="9"/>
        <v>4.6488769479174012E-2</v>
      </c>
      <c r="H29" s="861">
        <f t="shared" si="9"/>
        <v>4.6444501103249887E-2</v>
      </c>
      <c r="I29" s="862"/>
      <c r="J29" s="859">
        <f>SUM(J11:J28)</f>
        <v>4.0850110996586975E-2</v>
      </c>
      <c r="K29" s="861">
        <f>SUM(K11:K28)</f>
        <v>4.5563346730345913E-2</v>
      </c>
    </row>
    <row r="30" spans="1:11">
      <c r="B30" s="419" t="str">
        <f t="shared" si="8"/>
        <v>Debt performance - at notional gearing</v>
      </c>
      <c r="C30" s="219" t="s">
        <v>194</v>
      </c>
      <c r="D30" s="863">
        <f>IFERROR(Debt_performance___at_notional_gearing/NPV_neutral_equity_element_of_RAV,0)</f>
        <v>-1.7675984696472035E-2</v>
      </c>
      <c r="E30" s="863">
        <f>IFERROR(Debt_performance___at_notional_gearing/NPV_neutral_equity_element_of_RAV,0)</f>
        <v>-1.2013358455329422E-2</v>
      </c>
      <c r="F30" s="863">
        <f>IFERROR(Debt_performance___at_notional_gearing/NPV_neutral_equity_element_of_RAV,0)</f>
        <v>-1.30465127526444E-2</v>
      </c>
      <c r="G30" s="863">
        <f>IFERROR(Debt_performance___at_notional_gearing/NPV_neutral_equity_element_of_RAV,0)</f>
        <v>-1.8641340759340118E-2</v>
      </c>
      <c r="H30" s="863">
        <f>IFERROR(Debt_performance___at_notional_gearing/NPV_neutral_equity_element_of_RAV,0)</f>
        <v>-1.6014955634143829E-2</v>
      </c>
      <c r="I30" s="856"/>
      <c r="J30" s="864">
        <f>IFERROR(AVERAGE(D84:INDEX(D84:H84,0,MATCH('RFPR cover'!$C$9,$D$6:$H$6,0)))/AVERAGE($D$90:INDEX($D$90:$H$90,0,MATCH('RFPR cover'!$C$9,$D$6:$H$6,0))),0)</f>
        <v>-1.7675984696472035E-2</v>
      </c>
      <c r="K30" s="864">
        <f>IFERROR(AVERAGE(D84:H84)/AVERAGE($D$90:$H$90),0)</f>
        <v>-1.5475324940274253E-2</v>
      </c>
    </row>
    <row r="31" spans="1:11" ht="14" thickBot="1">
      <c r="B31" s="419" t="str">
        <f>B86</f>
        <v>Tax performance - at notional gearing</v>
      </c>
      <c r="C31" s="219" t="s">
        <v>194</v>
      </c>
      <c r="D31" s="858">
        <f>IFERROR(Tax_performance___at_notional_gearing/NPV_neutral_equity_element_of_RAV,0)</f>
        <v>-3.4419631935848983E-3</v>
      </c>
      <c r="E31" s="858">
        <f>IFERROR(Tax_performance___at_notional_gearing/NPV_neutral_equity_element_of_RAV,0)</f>
        <v>-2.2239297075776019E-3</v>
      </c>
      <c r="F31" s="858">
        <f>IFERROR(Tax_performance___at_notional_gearing/NPV_neutral_equity_element_of_RAV,0)</f>
        <v>-4.2776762719582504E-3</v>
      </c>
      <c r="G31" s="858">
        <f>IFERROR(Tax_performance___at_notional_gearing/NPV_neutral_equity_element_of_RAV,0)</f>
        <v>-6.1213706132139589E-3</v>
      </c>
      <c r="H31" s="858">
        <f>IFERROR(Tax_performance___at_notional_gearing/NPV_neutral_equity_element_of_RAV,0)</f>
        <v>-5.273292435492228E-3</v>
      </c>
      <c r="I31" s="856"/>
      <c r="J31" s="865">
        <f>IFERROR(AVERAGE(D86:INDEX(D86:H86,0,MATCH('RFPR cover'!$C$9,$D$6:$H$6,0)))/AVERAGE($D$90:INDEX($D$90:$H$90,0,MATCH('RFPR cover'!$C$9,$D$6:$H$6,0))),0)</f>
        <v>-3.4419631935848983E-3</v>
      </c>
      <c r="K31" s="865">
        <f>IFERROR(AVERAGE(D86:H86)/AVERAGE($D$90:$H$90),0)</f>
        <v>-4.2565444290187174E-3</v>
      </c>
    </row>
    <row r="32" spans="1:11" ht="14" thickBot="1">
      <c r="B32" s="420" t="str">
        <f>B88</f>
        <v>RoRE - including financing and tax</v>
      </c>
      <c r="C32" s="219" t="s">
        <v>194</v>
      </c>
      <c r="D32" s="859">
        <f>SUM(D29:D31)</f>
        <v>1.9732163106530042E-2</v>
      </c>
      <c r="E32" s="860">
        <f t="shared" ref="E32:H32" si="10">SUM(E29:E31)</f>
        <v>3.1738032284553575E-2</v>
      </c>
      <c r="F32" s="860">
        <f t="shared" si="10"/>
        <v>3.0825045466640305E-2</v>
      </c>
      <c r="G32" s="860">
        <f t="shared" si="10"/>
        <v>2.1726058106619935E-2</v>
      </c>
      <c r="H32" s="861">
        <f t="shared" si="10"/>
        <v>2.515625303361383E-2</v>
      </c>
      <c r="I32" s="862"/>
      <c r="J32" s="859">
        <f>SUM(J29:J31)</f>
        <v>1.9732163106530042E-2</v>
      </c>
      <c r="K32" s="861">
        <f>SUM(K29:K31)</f>
        <v>2.5831477361052943E-2</v>
      </c>
    </row>
    <row r="36" spans="1:13">
      <c r="B36" s="229" t="s">
        <v>210</v>
      </c>
      <c r="C36" s="62"/>
      <c r="D36" s="230"/>
      <c r="E36" s="230"/>
      <c r="F36" s="230"/>
      <c r="G36" s="230"/>
      <c r="H36" s="230"/>
      <c r="I36" s="230"/>
      <c r="J36" s="230"/>
      <c r="K36" s="230"/>
      <c r="L36" s="62"/>
    </row>
    <row r="37" spans="1:13">
      <c r="B37" s="53"/>
    </row>
    <row r="38" spans="1:13">
      <c r="B38" s="419" t="s">
        <v>193</v>
      </c>
      <c r="C38" s="418" t="s">
        <v>194</v>
      </c>
      <c r="D38" s="857">
        <f>IFERROR(Equity_Return_on_the_RAV/Equity_RAV_based_on_actual_gearing,0)</f>
        <v>4.0971018972444664E-2</v>
      </c>
      <c r="E38" s="857">
        <f>IFERROR(Equity_Return_on_the_RAV/Equity_RAV_based_on_actual_gearing,0)</f>
        <v>4.1752689109809567E-2</v>
      </c>
      <c r="F38" s="857">
        <f>IFERROR(Equity_Return_on_the_RAV/Equity_RAV_based_on_actual_gearing,0)</f>
        <v>4.5226762314283152E-2</v>
      </c>
      <c r="G38" s="857">
        <f>IFERROR(Equity_Return_on_the_RAV/Equity_RAV_based_on_actual_gearing,0)</f>
        <v>4.5375964182353526E-2</v>
      </c>
      <c r="H38" s="857">
        <f>IFERROR(Equity_Return_on_the_RAV/Equity_RAV_based_on_actual_gearing,0)</f>
        <v>4.5703175832272874E-2</v>
      </c>
      <c r="I38" s="866"/>
      <c r="J38" s="857">
        <f>IFERROR(AVERAGE(D65:INDEX(D65:H65,0,MATCH('RFPR cover'!$C$9,$D$6:$H$6,0)))/AVERAGE($D$91:INDEX($D$91:$H$91,0,MATCH('RFPR cover'!$C$9,$D$6:$H$6,0))),0)</f>
        <v>4.0971018972444664E-2</v>
      </c>
      <c r="K38" s="857">
        <f t="shared" ref="K38:K48" si="11">IFERROR(AVERAGE(D65:H65)/AVERAGE($D$91:$H$91),0)</f>
        <v>4.3696653172338014E-2</v>
      </c>
      <c r="M38" s="78"/>
    </row>
    <row r="39" spans="1:13">
      <c r="B39" s="419" t="str">
        <f t="shared" ref="B39:B46" si="12">B66</f>
        <v>Totex outperformance</v>
      </c>
      <c r="C39" s="418" t="s">
        <v>194</v>
      </c>
      <c r="D39" s="857">
        <f>IFERROR(Totex_outperformance/Equity_RAV_based_on_actual_gearing,0)</f>
        <v>-3.5922855442292708E-3</v>
      </c>
      <c r="E39" s="857">
        <f>IFERROR(Totex_outperformance/Equity_RAV_based_on_actual_gearing,0)</f>
        <v>1.025733691445834E-3</v>
      </c>
      <c r="F39" s="857">
        <f>IFERROR(Totex_outperformance/Equity_RAV_based_on_actual_gearing,0)</f>
        <v>3.2095738171492071E-3</v>
      </c>
      <c r="G39" s="857">
        <f>IFERROR(Totex_outperformance/Equity_RAV_based_on_actual_gearing,0)</f>
        <v>1.3160372095803901E-3</v>
      </c>
      <c r="H39" s="857">
        <f>IFERROR(Totex_outperformance/Equity_RAV_based_on_actual_gearing,0)</f>
        <v>1.0930593389707308E-3</v>
      </c>
      <c r="I39" s="866"/>
      <c r="J39" s="857">
        <f>IFERROR(AVERAGE(D66:INDEX(D66:H66,0,MATCH('RFPR cover'!$C$9,$D$6:$H$6,0)))/AVERAGE($D$91:INDEX($D$91:$H$91,0,MATCH('RFPR cover'!$C$9,$D$6:$H$6,0))),0)</f>
        <v>-3.5922855442292708E-3</v>
      </c>
      <c r="K39" s="857">
        <f t="shared" si="11"/>
        <v>5.2249346339120579E-4</v>
      </c>
    </row>
    <row r="40" spans="1:13">
      <c r="A40" s="49" t="s">
        <v>195</v>
      </c>
      <c r="B40" s="419" t="str">
        <f t="shared" si="12"/>
        <v>Business Plan Incentive</v>
      </c>
      <c r="C40" s="418" t="s">
        <v>194</v>
      </c>
      <c r="D40" s="857">
        <f>IFERROR(Business_Plan_Incentive/Equity_RAV_based_on_actual_gearing,0)</f>
        <v>-1.7062959375262654E-3</v>
      </c>
      <c r="E40" s="857">
        <f>IFERROR(Business_Plan_Incentive/Equity_RAV_based_on_actual_gearing,0)</f>
        <v>-1.7438685756849372E-3</v>
      </c>
      <c r="F40" s="857">
        <f>IFERROR(Business_Plan_Incentive/Equity_RAV_based_on_actual_gearing,0)</f>
        <v>-1.8984652526919407E-3</v>
      </c>
      <c r="G40" s="857">
        <f>IFERROR(Business_Plan_Incentive/Equity_RAV_based_on_actual_gearing,0)</f>
        <v>-1.9092191456844974E-3</v>
      </c>
      <c r="H40" s="857">
        <f>IFERROR(Business_Plan_Incentive/Equity_RAV_based_on_actual_gearing,0)</f>
        <v>-1.9545531858710121E-3</v>
      </c>
      <c r="I40" s="866"/>
      <c r="J40" s="857">
        <f>IFERROR(AVERAGE(D67:INDEX(D67:H67,0,MATCH('RFPR cover'!$C$9,$D$6:$H$6,0)))/AVERAGE($D$91:INDEX($D$91:$H$91,0,MATCH('RFPR cover'!$C$9,$D$6:$H$6,0))),0)</f>
        <v>-1.7062959375262654E-3</v>
      </c>
      <c r="K40" s="857">
        <f t="shared" si="11"/>
        <v>-1.8371249066950906E-3</v>
      </c>
    </row>
    <row r="41" spans="1:13">
      <c r="A41" s="49" t="s">
        <v>196</v>
      </c>
      <c r="B41" s="419" t="str">
        <f t="shared" si="12"/>
        <v>Customer satisfaction survey ODI</v>
      </c>
      <c r="C41" s="418" t="s">
        <v>194</v>
      </c>
      <c r="D41" s="857">
        <f>IFERROR(ODI_1/Equity_RAV_based_on_actual_gearing,0)</f>
        <v>1.4333829666474387E-3</v>
      </c>
      <c r="E41" s="857">
        <f>IFERROR(ODI_1/Equity_RAV_based_on_actual_gearing,0)</f>
        <v>1.4649460609291532E-3</v>
      </c>
      <c r="F41" s="857">
        <f>IFERROR(ODI_1/Equity_RAV_based_on_actual_gearing,0)</f>
        <v>1.5948158207103303E-3</v>
      </c>
      <c r="G41" s="857">
        <f>IFERROR(ODI_1/Equity_RAV_based_on_actual_gearing,0)</f>
        <v>1.6038496856464607E-3</v>
      </c>
      <c r="H41" s="857">
        <f>IFERROR(ODI_1/Equity_RAV_based_on_actual_gearing,0)</f>
        <v>1.6419327869324357E-3</v>
      </c>
      <c r="I41" s="866"/>
      <c r="J41" s="857">
        <f>IFERROR(AVERAGE(D68:INDEX(D68:H68,0,MATCH('RFPR cover'!$C$9,$D$6:$H$6,0)))/AVERAGE($D$91:INDEX($D$91:$H$91,0,MATCH('RFPR cover'!$C$9,$D$6:$H$6,0))),0)</f>
        <v>1.4333829666474387E-3</v>
      </c>
      <c r="K41" s="857">
        <f t="shared" si="11"/>
        <v>1.5432865371983418E-3</v>
      </c>
    </row>
    <row r="42" spans="1:13">
      <c r="A42" s="49" t="s">
        <v>197</v>
      </c>
      <c r="B42" s="419" t="str">
        <f t="shared" si="12"/>
        <v>Environmental scorecard ODI</v>
      </c>
      <c r="C42" s="418" t="s">
        <v>194</v>
      </c>
      <c r="D42" s="857">
        <f>IFERROR(ODI_2/Equity_RAV_based_on_actual_gearing,0)</f>
        <v>2.0388394487508623E-5</v>
      </c>
      <c r="E42" s="857">
        <f>IFERROR(ODI_2/Equity_RAV_based_on_actual_gearing,0)</f>
        <v>4.8228676903017389E-5</v>
      </c>
      <c r="F42" s="857">
        <f>IFERROR(ODI_2/Equity_RAV_based_on_actual_gearing,0)</f>
        <v>5.250422455013433E-5</v>
      </c>
      <c r="G42" s="857">
        <f>IFERROR(ODI_2/Equity_RAV_based_on_actual_gearing,0)</f>
        <v>5.2801635741447263E-5</v>
      </c>
      <c r="H42" s="857">
        <f>IFERROR(ODI_2/Equity_RAV_based_on_actual_gearing,0)</f>
        <v>5.4055400392837385E-5</v>
      </c>
      <c r="I42" s="866"/>
      <c r="J42" s="857">
        <f>IFERROR(AVERAGE(D69:INDEX(D69:H69,0,MATCH('RFPR cover'!$C$9,$D$6:$H$6,0)))/AVERAGE($D$91:INDEX($D$91:$H$91,0,MATCH('RFPR cover'!$C$9,$D$6:$H$6,0))),0)</f>
        <v>2.0388394487508623E-5</v>
      </c>
      <c r="K42" s="857">
        <f t="shared" si="11"/>
        <v>4.5036561673836043E-5</v>
      </c>
    </row>
    <row r="43" spans="1:13">
      <c r="A43" s="49" t="s">
        <v>198</v>
      </c>
      <c r="B43" s="419" t="str">
        <f t="shared" si="12"/>
        <v/>
      </c>
      <c r="C43" s="418" t="s">
        <v>194</v>
      </c>
      <c r="D43" s="857">
        <f>IFERROR(ODI_3/Equity_RAV_based_on_actual_gearing,0)</f>
        <v>0</v>
      </c>
      <c r="E43" s="857">
        <f>IFERROR(ODI_3/Equity_RAV_based_on_actual_gearing,0)</f>
        <v>0</v>
      </c>
      <c r="F43" s="857">
        <f>IFERROR(ODI_3/Equity_RAV_based_on_actual_gearing,0)</f>
        <v>0</v>
      </c>
      <c r="G43" s="857">
        <f>IFERROR(ODI_3/Equity_RAV_based_on_actual_gearing,0)</f>
        <v>0</v>
      </c>
      <c r="H43" s="857">
        <f>IFERROR(ODI_3/Equity_RAV_based_on_actual_gearing,0)</f>
        <v>0</v>
      </c>
      <c r="I43" s="866"/>
      <c r="J43" s="857">
        <f>IFERROR(AVERAGE(D70:INDEX(D70:H70,0,MATCH('RFPR cover'!$C$9,$D$6:$H$6,0)))/AVERAGE($D$91:INDEX($D$91:$H$91,0,MATCH('RFPR cover'!$C$9,$D$6:$H$6,0))),0)</f>
        <v>0</v>
      </c>
      <c r="K43" s="857">
        <f t="shared" si="11"/>
        <v>0</v>
      </c>
    </row>
    <row r="44" spans="1:13">
      <c r="A44" s="49" t="s">
        <v>199</v>
      </c>
      <c r="B44" s="419" t="str">
        <f t="shared" si="12"/>
        <v/>
      </c>
      <c r="C44" s="418" t="s">
        <v>194</v>
      </c>
      <c r="D44" s="857">
        <f>IFERROR(ODI_4/Equity_RAV_based_on_actual_gearing,0)</f>
        <v>0</v>
      </c>
      <c r="E44" s="857">
        <f>IFERROR(ODI_4/Equity_RAV_based_on_actual_gearing,0)</f>
        <v>0</v>
      </c>
      <c r="F44" s="857">
        <f>IFERROR(ODI_4/Equity_RAV_based_on_actual_gearing,0)</f>
        <v>0</v>
      </c>
      <c r="G44" s="857">
        <f>IFERROR(ODI_4/Equity_RAV_based_on_actual_gearing,0)</f>
        <v>0</v>
      </c>
      <c r="H44" s="857">
        <f>IFERROR(ODI_4/Equity_RAV_based_on_actual_gearing,0)</f>
        <v>0</v>
      </c>
      <c r="I44" s="866"/>
      <c r="J44" s="857">
        <f>IFERROR(AVERAGE(D71:INDEX(D71:H71,0,MATCH('RFPR cover'!$C$9,$D$6:$H$6,0)))/AVERAGE($D$91:INDEX($D$91:$H$91,0,MATCH('RFPR cover'!$C$9,$D$6:$H$6,0))),0)</f>
        <v>0</v>
      </c>
      <c r="K44" s="857">
        <f t="shared" si="11"/>
        <v>0</v>
      </c>
    </row>
    <row r="45" spans="1:13">
      <c r="A45" s="49" t="s">
        <v>200</v>
      </c>
      <c r="B45" s="419" t="str">
        <f t="shared" si="12"/>
        <v/>
      </c>
      <c r="C45" s="418" t="s">
        <v>194</v>
      </c>
      <c r="D45" s="857">
        <f>IFERROR(ODI_5/Equity_RAV_based_on_actual_gearing,0)</f>
        <v>0</v>
      </c>
      <c r="E45" s="857">
        <f>IFERROR(ODI_5/Equity_RAV_based_on_actual_gearing,0)</f>
        <v>0</v>
      </c>
      <c r="F45" s="857">
        <f>IFERROR(ODI_5/Equity_RAV_based_on_actual_gearing,0)</f>
        <v>0</v>
      </c>
      <c r="G45" s="857">
        <f>IFERROR(ODI_5/Equity_RAV_based_on_actual_gearing,0)</f>
        <v>0</v>
      </c>
      <c r="H45" s="857">
        <f>IFERROR(ODI_5/Equity_RAV_based_on_actual_gearing,0)</f>
        <v>0</v>
      </c>
      <c r="I45" s="866"/>
      <c r="J45" s="857">
        <f>IFERROR(AVERAGE(D72:INDEX(D72:H72,0,MATCH('RFPR cover'!$C$9,$D$6:$H$6,0)))/AVERAGE($D$91:INDEX($D$91:$H$91,0,MATCH('RFPR cover'!$C$9,$D$6:$H$6,0))),0)</f>
        <v>0</v>
      </c>
      <c r="K45" s="857">
        <f t="shared" si="11"/>
        <v>0</v>
      </c>
    </row>
    <row r="46" spans="1:13">
      <c r="A46" s="49" t="s">
        <v>201</v>
      </c>
      <c r="B46" s="419" t="str">
        <f t="shared" si="12"/>
        <v/>
      </c>
      <c r="C46" s="418" t="s">
        <v>194</v>
      </c>
      <c r="D46" s="857">
        <f>IFERROR(ODI_6/Equity_RAV_based_on_actual_gearing,0)</f>
        <v>0</v>
      </c>
      <c r="E46" s="857">
        <f>IFERROR(ODI_6/Equity_RAV_based_on_actual_gearing,0)</f>
        <v>0</v>
      </c>
      <c r="F46" s="857">
        <f>IFERROR(ODI_6/Equity_RAV_based_on_actual_gearing,0)</f>
        <v>0</v>
      </c>
      <c r="G46" s="857">
        <f>IFERROR(ODI_6/Equity_RAV_based_on_actual_gearing,0)</f>
        <v>0</v>
      </c>
      <c r="H46" s="857">
        <f>IFERROR(ODI_6/Equity_RAV_based_on_actual_gearing,0)</f>
        <v>0</v>
      </c>
      <c r="I46" s="866"/>
      <c r="J46" s="857">
        <f>IFERROR(AVERAGE(D73:INDEX(D73:H73,0,MATCH('RFPR cover'!$C$9,$D$6:$H$6,0)))/AVERAGE($D$91:INDEX($D$91:$H$91,0,MATCH('RFPR cover'!$C$9,$D$6:$H$6,0))),0)</f>
        <v>0</v>
      </c>
      <c r="K46" s="857">
        <f t="shared" si="11"/>
        <v>0</v>
      </c>
    </row>
    <row r="47" spans="1:13">
      <c r="A47" s="49" t="s">
        <v>202</v>
      </c>
      <c r="B47" s="419" t="str">
        <f t="shared" ref="B47" si="13">B74</f>
        <v>Network innovation input for RORE</v>
      </c>
      <c r="C47" s="418" t="s">
        <v>194</v>
      </c>
      <c r="D47" s="857">
        <f>IFERROR(ORA_1/Equity_RAV_based_on_actual_gearing,0)</f>
        <v>-7.8829616092649133E-5</v>
      </c>
      <c r="E47" s="857">
        <f>IFERROR(ORA_1/Equity_RAV_based_on_actual_gearing,0)</f>
        <v>-4.219205417732305E-4</v>
      </c>
      <c r="F47" s="857">
        <f>IFERROR(ORA_1/Equity_RAV_based_on_actual_gearing,0)</f>
        <v>-2.187676022922264E-4</v>
      </c>
      <c r="G47" s="857">
        <f>IFERROR(ORA_1/Equity_RAV_based_on_actual_gearing,0)</f>
        <v>-2.2013881967871725E-4</v>
      </c>
      <c r="H47" s="857">
        <f>IFERROR(ORA_1/Equity_RAV_based_on_actual_gearing,0)</f>
        <v>-2.2536597347113792E-4</v>
      </c>
      <c r="I47" s="866"/>
      <c r="J47" s="857">
        <f>IFERROR(AVERAGE(D74:INDEX(D74:H74,0,MATCH('RFPR cover'!$C$9,$D$6:$H$6,0)))/AVERAGE($D$91:INDEX($D$91:$H$91,0,MATCH('RFPR cover'!$C$9,$D$6:$H$6,0))),0)</f>
        <v>-7.8829616092649133E-5</v>
      </c>
      <c r="K47" s="857">
        <f t="shared" si="11"/>
        <v>-2.3294173122752798E-4</v>
      </c>
    </row>
    <row r="48" spans="1:13">
      <c r="A48" s="49" t="s">
        <v>203</v>
      </c>
      <c r="B48" s="419" t="str">
        <f t="shared" ref="B48" si="14">B75</f>
        <v>Carry-over Network innovation input for RORE</v>
      </c>
      <c r="C48" s="418" t="s">
        <v>194</v>
      </c>
      <c r="D48" s="857">
        <f>IFERROR(ORA_2/Equity_RAV_based_on_actual_gearing,0)</f>
        <v>-4.4178621747257165E-6</v>
      </c>
      <c r="E48" s="857">
        <f>IFERROR(ORA_2/Equity_RAV_based_on_actual_gearing,0)</f>
        <v>0</v>
      </c>
      <c r="F48" s="857">
        <f>IFERROR(ORA_2/Equity_RAV_based_on_actual_gearing,0)</f>
        <v>0</v>
      </c>
      <c r="G48" s="857">
        <f>IFERROR(ORA_2/Equity_RAV_based_on_actual_gearing,0)</f>
        <v>0</v>
      </c>
      <c r="H48" s="857">
        <f>IFERROR(ORA_2/Equity_RAV_based_on_actual_gearing,0)</f>
        <v>0</v>
      </c>
      <c r="I48" s="866"/>
      <c r="J48" s="857">
        <f>IFERROR(AVERAGE(D75:INDEX(D75:H75,0,MATCH('RFPR cover'!$C$9,$D$6:$H$6,0)))/AVERAGE($D$91:INDEX($D$91:$H$91,0,MATCH('RFPR cover'!$C$9,$D$6:$H$6,0))),0)</f>
        <v>-4.4178621747257165E-6</v>
      </c>
      <c r="K48" s="857">
        <f t="shared" si="11"/>
        <v>-9.5131969279623487E-7</v>
      </c>
    </row>
    <row r="49" spans="1:12">
      <c r="A49" s="49" t="s">
        <v>204</v>
      </c>
      <c r="B49" s="625" t="str">
        <f>B76</f>
        <v>Strategic innovation input for RORE</v>
      </c>
      <c r="C49" s="418" t="s">
        <v>194</v>
      </c>
      <c r="D49" s="857">
        <f>IFERROR(ORA_3/Equity_RAV_based_on_actual_gearing,0)</f>
        <v>0</v>
      </c>
      <c r="E49" s="857">
        <f>IFERROR(ORA_3/Equity_RAV_based_on_actual_gearing,0)</f>
        <v>0</v>
      </c>
      <c r="F49" s="857">
        <f>IFERROR(ORA_3/Equity_RAV_based_on_actual_gearing,0)</f>
        <v>0</v>
      </c>
      <c r="G49" s="857">
        <f>IFERROR(ORA_3/Equity_RAV_based_on_actual_gearing,0)</f>
        <v>0</v>
      </c>
      <c r="H49" s="857">
        <f>IFERROR(ORA_3/Equity_RAV_based_on_actual_gearing,0)</f>
        <v>0</v>
      </c>
      <c r="I49" s="866"/>
      <c r="J49" s="857">
        <f>IFERROR(AVERAGE(D76:INDEX(D76:H76,0,MATCH('RFPR cover'!$C$9,$D$6:$H$6,0)))/AVERAGE($D$91:INDEX($D$91:$H$91,0,MATCH('RFPR cover'!$C$9,$D$6:$H$6,0))),0)</f>
        <v>0</v>
      </c>
      <c r="K49" s="857">
        <f>IFERROR(AVERAGE(D76:H76)/AVERAGE($D$91:$H$91),0)</f>
        <v>0</v>
      </c>
    </row>
    <row r="50" spans="1:12">
      <c r="A50" s="49" t="s">
        <v>205</v>
      </c>
      <c r="B50" s="419" t="str">
        <f t="shared" ref="B50:B54" si="15">B77</f>
        <v/>
      </c>
      <c r="C50" s="418" t="s">
        <v>194</v>
      </c>
      <c r="D50" s="857">
        <f>IFERROR(ORA_4/Equity_RAV_based_on_actual_gearing,0)</f>
        <v>0</v>
      </c>
      <c r="E50" s="857">
        <f>IFERROR(ORA_4/Equity_RAV_based_on_actual_gearing,0)</f>
        <v>0</v>
      </c>
      <c r="F50" s="857">
        <f>IFERROR(ORA_4/Equity_RAV_based_on_actual_gearing,0)</f>
        <v>0</v>
      </c>
      <c r="G50" s="857">
        <f>IFERROR(ORA_4/Equity_RAV_based_on_actual_gearing,0)</f>
        <v>0</v>
      </c>
      <c r="H50" s="857">
        <f>IFERROR(ORA_4/Equity_RAV_based_on_actual_gearing,0)</f>
        <v>0</v>
      </c>
      <c r="I50" s="866"/>
      <c r="J50" s="857">
        <f>IFERROR(AVERAGE(D77:INDEX(D77:H77,0,MATCH('RFPR cover'!$C$9,$D$6:$H$6,0)))/AVERAGE($D$91:INDEX($D$91:$H$91,0,MATCH('RFPR cover'!$C$9,$D$6:$H$6,0))),0)</f>
        <v>0</v>
      </c>
      <c r="K50" s="857">
        <f t="shared" ref="K50:K55" si="16">IFERROR(AVERAGE(D77:H77)/AVERAGE($D$91:$H$91),0)</f>
        <v>0</v>
      </c>
    </row>
    <row r="51" spans="1:12">
      <c r="A51" s="49" t="s">
        <v>206</v>
      </c>
      <c r="B51" s="419" t="str">
        <f t="shared" si="15"/>
        <v/>
      </c>
      <c r="C51" s="418" t="s">
        <v>194</v>
      </c>
      <c r="D51" s="857">
        <f>IFERROR(ORA_5/Equity_RAV_based_on_actual_gearing,0)</f>
        <v>0</v>
      </c>
      <c r="E51" s="857">
        <f>IFERROR(ORA_5/Equity_RAV_based_on_actual_gearing,0)</f>
        <v>0</v>
      </c>
      <c r="F51" s="857">
        <f>IFERROR(ORA_5/Equity_RAV_based_on_actual_gearing,0)</f>
        <v>0</v>
      </c>
      <c r="G51" s="857">
        <f>IFERROR(ORA_5/Equity_RAV_based_on_actual_gearing,0)</f>
        <v>0</v>
      </c>
      <c r="H51" s="857">
        <f>IFERROR(ORA_5/Equity_RAV_based_on_actual_gearing,0)</f>
        <v>0</v>
      </c>
      <c r="I51" s="866"/>
      <c r="J51" s="857">
        <f>IFERROR(AVERAGE(D78:INDEX(D78:H78,0,MATCH('RFPR cover'!$C$9,$D$6:$H$6,0)))/AVERAGE($D$91:INDEX($D$91:$H$91,0,MATCH('RFPR cover'!$C$9,$D$6:$H$6,0))),0)</f>
        <v>0</v>
      </c>
      <c r="K51" s="857">
        <f t="shared" si="16"/>
        <v>0</v>
      </c>
    </row>
    <row r="52" spans="1:12">
      <c r="A52" s="49" t="s">
        <v>207</v>
      </c>
      <c r="B52" s="419" t="str">
        <f t="shared" si="15"/>
        <v/>
      </c>
      <c r="C52" s="418" t="s">
        <v>194</v>
      </c>
      <c r="D52" s="857">
        <f>IFERROR(ORA_6/Equity_RAV_based_on_actual_gearing,0)</f>
        <v>0</v>
      </c>
      <c r="E52" s="857">
        <f>IFERROR(ORA_6/Equity_RAV_based_on_actual_gearing,0)</f>
        <v>0</v>
      </c>
      <c r="F52" s="857">
        <f>IFERROR(ORA_6/Equity_RAV_based_on_actual_gearing,0)</f>
        <v>0</v>
      </c>
      <c r="G52" s="857">
        <f>IFERROR(ORA_6/Equity_RAV_based_on_actual_gearing,0)</f>
        <v>0</v>
      </c>
      <c r="H52" s="857">
        <f>IFERROR(ORA_6/Equity_RAV_based_on_actual_gearing,0)</f>
        <v>0</v>
      </c>
      <c r="I52" s="866"/>
      <c r="J52" s="857">
        <f>IFERROR(AVERAGE(D79:INDEX(D79:H79,0,MATCH('RFPR cover'!$C$9,$D$6:$H$6,0)))/AVERAGE($D$91:INDEX($D$91:$H$91,0,MATCH('RFPR cover'!$C$9,$D$6:$H$6,0))),0)</f>
        <v>0</v>
      </c>
      <c r="K52" s="857">
        <f t="shared" si="16"/>
        <v>0</v>
      </c>
    </row>
    <row r="53" spans="1:12">
      <c r="A53" s="49" t="s">
        <v>208</v>
      </c>
      <c r="B53" s="419" t="str">
        <f t="shared" si="15"/>
        <v/>
      </c>
      <c r="C53" s="418" t="s">
        <v>194</v>
      </c>
      <c r="D53" s="857">
        <f>IFERROR(ORA_7/Equity_RAV_based_on_actual_gearing,0)</f>
        <v>0</v>
      </c>
      <c r="E53" s="857">
        <f>IFERROR(ORA_7/Equity_RAV_based_on_actual_gearing,0)</f>
        <v>0</v>
      </c>
      <c r="F53" s="857">
        <f>IFERROR(ORA_7/Equity_RAV_based_on_actual_gearing,0)</f>
        <v>0</v>
      </c>
      <c r="G53" s="857">
        <f>IFERROR(ORA_7/Equity_RAV_based_on_actual_gearing,0)</f>
        <v>0</v>
      </c>
      <c r="H53" s="857">
        <f>IFERROR(ORA_7/Equity_RAV_based_on_actual_gearing,0)</f>
        <v>0</v>
      </c>
      <c r="I53" s="866"/>
      <c r="J53" s="857">
        <f>IFERROR(AVERAGE(D80:INDEX(D80:H80,0,MATCH('RFPR cover'!$C$9,$D$6:$H$6,0)))/AVERAGE($D$91:INDEX($D$91:$H$91,0,MATCH('RFPR cover'!$C$9,$D$6:$H$6,0))),0)</f>
        <v>0</v>
      </c>
      <c r="K53" s="857">
        <f t="shared" si="16"/>
        <v>0</v>
      </c>
    </row>
    <row r="54" spans="1:12">
      <c r="A54" s="49" t="s">
        <v>209</v>
      </c>
      <c r="B54" s="419" t="str">
        <f t="shared" si="15"/>
        <v/>
      </c>
      <c r="C54" s="418" t="s">
        <v>194</v>
      </c>
      <c r="D54" s="857">
        <f>IFERROR(ORA_8/Equity_RAV_based_on_actual_gearing,0)</f>
        <v>0</v>
      </c>
      <c r="E54" s="857">
        <f>IFERROR(ORA_8/Equity_RAV_based_on_actual_gearing,0)</f>
        <v>0</v>
      </c>
      <c r="F54" s="857">
        <f>IFERROR(ORA_8/Equity_RAV_based_on_actual_gearing,0)</f>
        <v>0</v>
      </c>
      <c r="G54" s="857">
        <f>IFERROR(ORA_8/Equity_RAV_based_on_actual_gearing,0)</f>
        <v>0</v>
      </c>
      <c r="H54" s="857">
        <f>IFERROR(ORA_8/Equity_RAV_based_on_actual_gearing,0)</f>
        <v>0</v>
      </c>
      <c r="I54" s="866"/>
      <c r="J54" s="857">
        <f>IFERROR(AVERAGE(D81:INDEX(D81:H81,0,MATCH('RFPR cover'!$C$9,$D$6:$H$6,0)))/AVERAGE($D$91:INDEX($D$91:$H$91,0,MATCH('RFPR cover'!$C$9,$D$6:$H$6,0))),0)</f>
        <v>0</v>
      </c>
      <c r="K54" s="857">
        <f t="shared" si="16"/>
        <v>0</v>
      </c>
    </row>
    <row r="55" spans="1:12" ht="14" thickBot="1">
      <c r="B55" s="419" t="str">
        <f t="shared" ref="B55:B56" si="17">B82</f>
        <v>Penalties and fines (Other Activities)</v>
      </c>
      <c r="C55" s="418" t="s">
        <v>194</v>
      </c>
      <c r="D55" s="857">
        <f>IFERROR(Penalties_and_fines/Equity_RAV_based_on_actual_gearing,0)</f>
        <v>0</v>
      </c>
      <c r="E55" s="857">
        <f>IFERROR(Penalties_and_fines/Equity_RAV_based_on_actual_gearing,0)</f>
        <v>0</v>
      </c>
      <c r="F55" s="857">
        <f>IFERROR(Penalties_and_fines/Equity_RAV_based_on_actual_gearing,0)</f>
        <v>0</v>
      </c>
      <c r="G55" s="857">
        <f>IFERROR(Penalties_and_fines/Equity_RAV_based_on_actual_gearing,0)</f>
        <v>0</v>
      </c>
      <c r="H55" s="857">
        <f>IFERROR(Penalties_and_fines/Equity_RAV_based_on_actual_gearing,0)</f>
        <v>0</v>
      </c>
      <c r="I55" s="866"/>
      <c r="J55" s="857">
        <f>IFERROR(AVERAGE(D82:INDEX(D82:H82,0,MATCH('RFPR cover'!$C$9,$D$6:$H$6,0)))/AVERAGE($D$91:INDEX($D$91:$H$91,0,MATCH('RFPR cover'!$C$9,$D$6:$H$6,0))),0)</f>
        <v>0</v>
      </c>
      <c r="K55" s="857">
        <f t="shared" si="16"/>
        <v>0</v>
      </c>
    </row>
    <row r="56" spans="1:12" ht="14" thickBot="1">
      <c r="B56" s="420" t="str">
        <f t="shared" si="17"/>
        <v>RoRE - Operational performance</v>
      </c>
      <c r="C56" s="219" t="s">
        <v>194</v>
      </c>
      <c r="D56" s="859">
        <f t="shared" ref="D56:H56" si="18">SUM(D38:D55)</f>
        <v>3.7042961373556692E-2</v>
      </c>
      <c r="E56" s="860">
        <f t="shared" si="18"/>
        <v>4.2125808421629399E-2</v>
      </c>
      <c r="F56" s="860">
        <f t="shared" si="18"/>
        <v>4.7966423321708668E-2</v>
      </c>
      <c r="G56" s="860">
        <f t="shared" si="18"/>
        <v>4.6219294747958613E-2</v>
      </c>
      <c r="H56" s="861">
        <f t="shared" si="18"/>
        <v>4.6312304199226731E-2</v>
      </c>
      <c r="I56" s="862"/>
      <c r="J56" s="859">
        <f>SUM(J38:J55)</f>
        <v>3.7042961373556692E-2</v>
      </c>
      <c r="K56" s="861">
        <f>SUM(K38:K55)</f>
        <v>4.3736451776985978E-2</v>
      </c>
    </row>
    <row r="57" spans="1:12">
      <c r="B57" s="419" t="s">
        <v>211</v>
      </c>
      <c r="C57" s="418" t="s">
        <v>194</v>
      </c>
      <c r="D57" s="857">
        <f>IFERROR((Debt_performance___at_notional_gearing+Debt_performance___impact_of_actual_gearing)/Equity_RAV_based_on_actual_gearing,0)</f>
        <v>-1.3382820100301377E-2</v>
      </c>
      <c r="E57" s="857">
        <f>IFERROR((Debt_performance___at_notional_gearing+Debt_performance___impact_of_actual_gearing)/Equity_RAV_based_on_actual_gearing,0)</f>
        <v>-9.0482907808000571E-3</v>
      </c>
      <c r="F57" s="857">
        <f>IFERROR((Debt_performance___at_notional_gearing+Debt_performance___impact_of_actual_gearing)/Equity_RAV_based_on_actual_gearing,0)</f>
        <v>-1.2911844698317123E-2</v>
      </c>
      <c r="G57" s="857">
        <f>IFERROR((Debt_performance___at_notional_gearing+Debt_performance___impact_of_actual_gearing)/Equity_RAV_based_on_actual_gearing,0)</f>
        <v>-1.8383864134049261E-2</v>
      </c>
      <c r="H57" s="857">
        <f>IFERROR((Debt_performance___at_notional_gearing+Debt_performance___impact_of_actual_gearing)/Equity_RAV_based_on_actual_gearing,0)</f>
        <v>-1.5901624019813293E-2</v>
      </c>
      <c r="I57" s="866"/>
      <c r="J57" s="857">
        <f>IFERROR((AVERAGE(D84:INDEX(D84:H84,0,MATCH('RFPR cover'!$C$9,$D$6:$H$6,0)))+AVERAGE(D85:INDEX(D85:H85,0,MATCH('RFPR cover'!$C$9,$D$6:$H$6,0))))/AVERAGE($D$91:INDEX($D$91:$H$91,0,MATCH('RFPR cover'!$C$9,$D$6:$H$6,0))),0)</f>
        <v>-1.3382820100301377E-2</v>
      </c>
      <c r="K57" s="857">
        <f>IFERROR((AVERAGE(D84:H84)+AVERAGE(D85:H85))/AVERAGE($D$91:$H$91),0)</f>
        <v>-1.3814338357765115E-2</v>
      </c>
    </row>
    <row r="58" spans="1:12" ht="14" thickBot="1">
      <c r="B58" s="419" t="s">
        <v>212</v>
      </c>
      <c r="C58" s="418" t="s">
        <v>194</v>
      </c>
      <c r="D58" s="857">
        <f>IFERROR((Tax_performance___at_notional_gearing+Tax_performance___impact_of_actual_gearing)/D$91,0)</f>
        <v>-3.1211790254332961E-3</v>
      </c>
      <c r="E58" s="857">
        <f>IFERROR((Tax_performance___at_notional_gearing+Tax_performance___impact_of_actual_gearing)/E$91,0)</f>
        <v>-2.0377201483923317E-3</v>
      </c>
      <c r="F58" s="857">
        <f>IFERROR((Tax_performance___at_notional_gearing+Tax_performance___impact_of_actual_gearing)/F$91,0)</f>
        <v>-4.2614349545120056E-3</v>
      </c>
      <c r="G58" s="857">
        <f>IFERROR((Tax_performance___at_notional_gearing+Tax_performance___impact_of_actual_gearing)/G$91,0)</f>
        <v>-6.0858877488760513E-3</v>
      </c>
      <c r="H58" s="857">
        <f>IFERROR((Tax_performance___at_notional_gearing+Tax_performance___impact_of_actual_gearing)/H$91,0)</f>
        <v>-5.2582828451764397E-3</v>
      </c>
      <c r="I58" s="866"/>
      <c r="J58" s="857">
        <f>IFERROR((AVERAGE(D86:INDEX(D86:H86,0,MATCH('RFPR cover'!$C$9,$D$6:$H$6,0)))+AVERAGE(D87:INDEX(D87:H87,0,MATCH('RFPR cover'!$C$9,$D$6:$H$6,0))))/AVERAGE($D$91:INDEX($D$91:$H$91,0,MATCH('RFPR cover'!$C$9,$D$6:$H$6,0))),0)</f>
        <v>-3.1211790254332961E-3</v>
      </c>
      <c r="K58" s="857">
        <f>IFERROR((AVERAGE(D86:H86)+AVERAGE(D87:H87))/AVERAGE($D$91:$H$91),0)</f>
        <v>-4.0858752377903318E-3</v>
      </c>
    </row>
    <row r="59" spans="1:12" ht="14" thickBot="1">
      <c r="B59" s="420" t="str">
        <f>B88</f>
        <v>RoRE - including financing and tax</v>
      </c>
      <c r="C59" s="219" t="s">
        <v>194</v>
      </c>
      <c r="D59" s="859">
        <f>SUM(D56:D58)</f>
        <v>2.0538962247822021E-2</v>
      </c>
      <c r="E59" s="860">
        <f t="shared" ref="E59:H59" si="19">SUM(E56:E58)</f>
        <v>3.1039797492437009E-2</v>
      </c>
      <c r="F59" s="860">
        <f t="shared" si="19"/>
        <v>3.0793143668879537E-2</v>
      </c>
      <c r="G59" s="860">
        <f t="shared" si="19"/>
        <v>2.1749542865033299E-2</v>
      </c>
      <c r="H59" s="861">
        <f t="shared" si="19"/>
        <v>2.5152397334236999E-2</v>
      </c>
      <c r="I59" s="862"/>
      <c r="J59" s="859">
        <f>SUM(J56:J58)</f>
        <v>2.0538962247822021E-2</v>
      </c>
      <c r="K59" s="861">
        <f>SUM(K56:K58)</f>
        <v>2.5836238181430531E-2</v>
      </c>
    </row>
    <row r="60" spans="1:12">
      <c r="B60" s="218"/>
      <c r="C60" s="219"/>
      <c r="D60" s="867"/>
      <c r="E60" s="867"/>
      <c r="F60" s="867"/>
      <c r="G60" s="867"/>
      <c r="H60" s="867"/>
      <c r="I60" s="868"/>
      <c r="J60" s="867"/>
      <c r="K60" s="867"/>
    </row>
    <row r="61" spans="1:12">
      <c r="B61" s="218"/>
      <c r="C61" s="219"/>
      <c r="D61" s="867"/>
      <c r="E61" s="867"/>
      <c r="F61" s="867"/>
      <c r="G61" s="867"/>
      <c r="H61" s="867"/>
      <c r="I61" s="868"/>
      <c r="J61" s="867"/>
      <c r="K61" s="867"/>
    </row>
    <row r="62" spans="1:12">
      <c r="B62" s="225" t="s">
        <v>213</v>
      </c>
      <c r="C62" s="226"/>
      <c r="D62" s="869"/>
      <c r="E62" s="869"/>
      <c r="F62" s="869"/>
      <c r="G62" s="869"/>
      <c r="H62" s="869"/>
      <c r="I62" s="870"/>
      <c r="J62" s="869"/>
      <c r="K62" s="869"/>
      <c r="L62" s="62"/>
    </row>
    <row r="63" spans="1:12">
      <c r="B63" s="228" t="str">
        <f>"Input values provided in "&amp;Data!C9&amp;" prices"</f>
        <v>Input values provided in £m 18/19 prices</v>
      </c>
      <c r="C63" s="227"/>
      <c r="D63" s="871"/>
      <c r="E63" s="871"/>
      <c r="F63" s="871"/>
      <c r="G63" s="871"/>
      <c r="H63" s="871"/>
      <c r="I63" s="871"/>
      <c r="J63" s="871"/>
      <c r="K63" s="871"/>
      <c r="L63" s="227"/>
    </row>
    <row r="65" spans="1:12">
      <c r="B65" s="421" t="s">
        <v>214</v>
      </c>
      <c r="C65" s="695" t="str">
        <f>Data!$C$9</f>
        <v>£m 18/19</v>
      </c>
      <c r="D65" s="872">
        <f>'R7 - RAV'!E44</f>
        <v>104.18664629722294</v>
      </c>
      <c r="E65" s="872">
        <f>'R7 - RAV'!F44</f>
        <v>103.8867954692674</v>
      </c>
      <c r="F65" s="872">
        <f>'R7 - RAV'!G44</f>
        <v>103.36713901053305</v>
      </c>
      <c r="G65" s="872">
        <f>'R7 - RAV'!H44</f>
        <v>103.12399654710347</v>
      </c>
      <c r="H65" s="872">
        <f>'R7 - RAV'!I44</f>
        <v>101.4585232930668</v>
      </c>
      <c r="I65" s="827"/>
      <c r="J65" s="873">
        <f>SUM(D65:INDEX(D65:H65,0,MATCH('RFPR cover'!$C$9,$D$6:$H$6,0)))</f>
        <v>104.18664629722294</v>
      </c>
      <c r="K65" s="873">
        <f t="shared" ref="K65:K82" si="20">SUM(D65:H65)</f>
        <v>516.02310061719368</v>
      </c>
      <c r="L65" s="52"/>
    </row>
    <row r="66" spans="1:12">
      <c r="B66" s="421" t="s">
        <v>215</v>
      </c>
      <c r="C66" s="695" t="str">
        <f>Data!$C$9</f>
        <v>£m 18/19</v>
      </c>
      <c r="D66" s="872">
        <f>'R3 - Totex - Reconciliation'!D97</f>
        <v>-9.1349493564453113</v>
      </c>
      <c r="E66" s="872">
        <f>'R3 - Totex - Reconciliation'!E97</f>
        <v>2.5521754042935223</v>
      </c>
      <c r="F66" s="872">
        <f>'R3 - Totex - Reconciliation'!F97</f>
        <v>7.3355784483616269</v>
      </c>
      <c r="G66" s="872">
        <f>'R3 - Totex - Reconciliation'!G97</f>
        <v>2.9909010001688667</v>
      </c>
      <c r="H66" s="872">
        <f>'R3 - Totex - Reconciliation'!H97</f>
        <v>2.4265312942509993</v>
      </c>
      <c r="I66" s="827"/>
      <c r="J66" s="873">
        <f>SUM(D66:INDEX(D66:H66,0,MATCH('RFPR cover'!$C$9,$D$6:$H$6,0)))</f>
        <v>-9.1349493564453113</v>
      </c>
      <c r="K66" s="873">
        <f t="shared" si="20"/>
        <v>6.170236790629704</v>
      </c>
      <c r="L66" s="52"/>
    </row>
    <row r="67" spans="1:12">
      <c r="A67" s="49" t="s">
        <v>195</v>
      </c>
      <c r="B67" s="421" t="s">
        <v>216</v>
      </c>
      <c r="C67" s="695" t="str">
        <f>Data!$C$9</f>
        <v>£m 18/19</v>
      </c>
      <c r="D67" s="872">
        <f>'R4 - Incentives and Other Rev'!D12</f>
        <v>-4.3390000000000004</v>
      </c>
      <c r="E67" s="872">
        <f>'R4 - Incentives and Other Rev'!E12</f>
        <v>-4.3390000000000004</v>
      </c>
      <c r="F67" s="872">
        <f>'R4 - Incentives and Other Rev'!F12</f>
        <v>-4.3390000000000004</v>
      </c>
      <c r="G67" s="872">
        <f>'R4 - Incentives and Other Rev'!G12</f>
        <v>-4.3390000000000004</v>
      </c>
      <c r="H67" s="872">
        <f>'R4 - Incentives and Other Rev'!H12</f>
        <v>-4.3390000000000004</v>
      </c>
      <c r="I67" s="827"/>
      <c r="J67" s="873">
        <f>SUM(D67:INDEX(D67:H67,0,MATCH('RFPR cover'!$C$9,$D$6:$H$6,0)))</f>
        <v>-4.3390000000000004</v>
      </c>
      <c r="K67" s="873">
        <f t="shared" si="20"/>
        <v>-21.695</v>
      </c>
      <c r="L67" s="52"/>
    </row>
    <row r="68" spans="1:12">
      <c r="A68" s="49" t="s">
        <v>196</v>
      </c>
      <c r="B68" s="573" t="str">
        <f>'R4 - Incentives and Other Rev'!B14</f>
        <v>Customer satisfaction survey ODI</v>
      </c>
      <c r="C68" s="695" t="str">
        <f>Data!$C$9</f>
        <v>£m 18/19</v>
      </c>
      <c r="D68" s="872">
        <f>'R4 - Incentives and Other Rev'!D14</f>
        <v>3.645</v>
      </c>
      <c r="E68" s="872">
        <f>'R4 - Incentives and Other Rev'!E14</f>
        <v>3.645</v>
      </c>
      <c r="F68" s="872">
        <f>'R4 - Incentives and Other Rev'!F14</f>
        <v>3.645</v>
      </c>
      <c r="G68" s="872">
        <f>'R4 - Incentives and Other Rev'!G14</f>
        <v>3.645</v>
      </c>
      <c r="H68" s="872">
        <f>'R4 - Incentives and Other Rev'!H14</f>
        <v>3.645</v>
      </c>
      <c r="I68" s="874"/>
      <c r="J68" s="873">
        <f>SUM(D68:INDEX(D68:H68,0,MATCH('RFPR cover'!$C$9,$D$6:$H$6,0)))</f>
        <v>3.645</v>
      </c>
      <c r="K68" s="873">
        <f t="shared" si="20"/>
        <v>18.225000000000001</v>
      </c>
      <c r="L68" s="52"/>
    </row>
    <row r="69" spans="1:12">
      <c r="A69" s="49" t="s">
        <v>197</v>
      </c>
      <c r="B69" s="573" t="str">
        <f>'R4 - Incentives and Other Rev'!B15</f>
        <v>Environmental scorecard ODI</v>
      </c>
      <c r="C69" s="695" t="str">
        <f>Data!$C$9</f>
        <v>£m 18/19</v>
      </c>
      <c r="D69" s="872">
        <f>'R4 - Incentives and Other Rev'!D15</f>
        <v>5.1846366000000019E-2</v>
      </c>
      <c r="E69" s="872">
        <f>'R4 - Incentives and Other Rev'!E15</f>
        <v>0.12</v>
      </c>
      <c r="F69" s="872">
        <f>'R4 - Incentives and Other Rev'!F15</f>
        <v>0.12</v>
      </c>
      <c r="G69" s="872">
        <f>'R4 - Incentives and Other Rev'!G15</f>
        <v>0.12</v>
      </c>
      <c r="H69" s="872">
        <f>'R4 - Incentives and Other Rev'!H15</f>
        <v>0.12</v>
      </c>
      <c r="I69" s="874"/>
      <c r="J69" s="873">
        <f>SUM(D69:INDEX(D69:H69,0,MATCH('RFPR cover'!$C$9,$D$6:$H$6,0)))</f>
        <v>5.1846366000000019E-2</v>
      </c>
      <c r="K69" s="873">
        <f t="shared" si="20"/>
        <v>0.53184636600000001</v>
      </c>
      <c r="L69" s="52"/>
    </row>
    <row r="70" spans="1:12">
      <c r="A70" s="49" t="s">
        <v>198</v>
      </c>
      <c r="B70" s="573" t="str">
        <f>'R4 - Incentives and Other Rev'!B16</f>
        <v/>
      </c>
      <c r="C70" s="695" t="str">
        <f>Data!$C$9</f>
        <v>£m 18/19</v>
      </c>
      <c r="D70" s="872">
        <f>'R4 - Incentives and Other Rev'!D16</f>
        <v>0</v>
      </c>
      <c r="E70" s="872">
        <f>'R4 - Incentives and Other Rev'!E16</f>
        <v>0</v>
      </c>
      <c r="F70" s="872">
        <f>'R4 - Incentives and Other Rev'!F16</f>
        <v>0</v>
      </c>
      <c r="G70" s="872">
        <f>'R4 - Incentives and Other Rev'!G16</f>
        <v>0</v>
      </c>
      <c r="H70" s="872">
        <f>'R4 - Incentives and Other Rev'!H16</f>
        <v>0</v>
      </c>
      <c r="I70" s="874"/>
      <c r="J70" s="873">
        <f>SUM(D70:INDEX(D70:H70,0,MATCH('RFPR cover'!$C$9,$D$6:$H$6,0)))</f>
        <v>0</v>
      </c>
      <c r="K70" s="873">
        <f t="shared" si="20"/>
        <v>0</v>
      </c>
      <c r="L70" s="52"/>
    </row>
    <row r="71" spans="1:12">
      <c r="A71" s="49" t="s">
        <v>199</v>
      </c>
      <c r="B71" s="573" t="str">
        <f>'R4 - Incentives and Other Rev'!B17</f>
        <v/>
      </c>
      <c r="C71" s="695" t="str">
        <f>Data!$C$9</f>
        <v>£m 18/19</v>
      </c>
      <c r="D71" s="872">
        <f>'R4 - Incentives and Other Rev'!D17</f>
        <v>0</v>
      </c>
      <c r="E71" s="872">
        <f>'R4 - Incentives and Other Rev'!E17</f>
        <v>0</v>
      </c>
      <c r="F71" s="872">
        <f>'R4 - Incentives and Other Rev'!F17</f>
        <v>0</v>
      </c>
      <c r="G71" s="872">
        <f>'R4 - Incentives and Other Rev'!G17</f>
        <v>0</v>
      </c>
      <c r="H71" s="872">
        <f>'R4 - Incentives and Other Rev'!H17</f>
        <v>0</v>
      </c>
      <c r="I71" s="874"/>
      <c r="J71" s="873">
        <f>SUM(D71:INDEX(D71:H71,0,MATCH('RFPR cover'!$C$9,$D$6:$H$6,0)))</f>
        <v>0</v>
      </c>
      <c r="K71" s="873">
        <f t="shared" si="20"/>
        <v>0</v>
      </c>
      <c r="L71" s="52"/>
    </row>
    <row r="72" spans="1:12">
      <c r="A72" s="49" t="s">
        <v>200</v>
      </c>
      <c r="B72" s="573" t="str">
        <f>'R4 - Incentives and Other Rev'!B18</f>
        <v/>
      </c>
      <c r="C72" s="695" t="str">
        <f>Data!$C$9</f>
        <v>£m 18/19</v>
      </c>
      <c r="D72" s="872">
        <f>'R4 - Incentives and Other Rev'!D18</f>
        <v>0</v>
      </c>
      <c r="E72" s="872">
        <f>'R4 - Incentives and Other Rev'!E18</f>
        <v>0</v>
      </c>
      <c r="F72" s="872">
        <f>'R4 - Incentives and Other Rev'!F18</f>
        <v>0</v>
      </c>
      <c r="G72" s="872">
        <f>'R4 - Incentives and Other Rev'!G18</f>
        <v>0</v>
      </c>
      <c r="H72" s="872">
        <f>'R4 - Incentives and Other Rev'!H18</f>
        <v>0</v>
      </c>
      <c r="I72" s="874"/>
      <c r="J72" s="873">
        <f>SUM(D72:INDEX(D72:H72,0,MATCH('RFPR cover'!$C$9,$D$6:$H$6,0)))</f>
        <v>0</v>
      </c>
      <c r="K72" s="873">
        <f t="shared" si="20"/>
        <v>0</v>
      </c>
      <c r="L72" s="52"/>
    </row>
    <row r="73" spans="1:12">
      <c r="A73" s="49" t="s">
        <v>201</v>
      </c>
      <c r="B73" s="573" t="str">
        <f>'R4 - Incentives and Other Rev'!B19</f>
        <v/>
      </c>
      <c r="C73" s="695" t="str">
        <f>Data!$C$9</f>
        <v>£m 18/19</v>
      </c>
      <c r="D73" s="872">
        <f>'R4 - Incentives and Other Rev'!D19</f>
        <v>0</v>
      </c>
      <c r="E73" s="872">
        <f>'R4 - Incentives and Other Rev'!E19</f>
        <v>0</v>
      </c>
      <c r="F73" s="872">
        <f>'R4 - Incentives and Other Rev'!F19</f>
        <v>0</v>
      </c>
      <c r="G73" s="872">
        <f>'R4 - Incentives and Other Rev'!G19</f>
        <v>0</v>
      </c>
      <c r="H73" s="872">
        <f>'R4 - Incentives and Other Rev'!H19</f>
        <v>0</v>
      </c>
      <c r="I73" s="874"/>
      <c r="J73" s="873">
        <f>SUM(D73:INDEX(D73:H73,0,MATCH('RFPR cover'!$C$9,$D$6:$H$6,0)))</f>
        <v>0</v>
      </c>
      <c r="K73" s="873">
        <f t="shared" si="20"/>
        <v>0</v>
      </c>
      <c r="L73" s="52"/>
    </row>
    <row r="74" spans="1:12">
      <c r="A74" s="49" t="s">
        <v>202</v>
      </c>
      <c r="B74" s="573" t="str">
        <f>'R4 - Incentives and Other Rev'!B41</f>
        <v>Network innovation input for RORE</v>
      </c>
      <c r="C74" s="695" t="str">
        <f>Data!$C$9</f>
        <v>£m 18/19</v>
      </c>
      <c r="D74" s="872">
        <f>-'R4 - Incentives and Other Rev'!D41</f>
        <v>-0.2004586055112374</v>
      </c>
      <c r="E74" s="872">
        <f>-'R4 - Incentives and Other Rev'!E41</f>
        <v>-1.0498000000000001</v>
      </c>
      <c r="F74" s="872">
        <f>-'R4 - Incentives and Other Rev'!F41</f>
        <v>-0.5</v>
      </c>
      <c r="G74" s="872">
        <f>-'R4 - Incentives and Other Rev'!G41</f>
        <v>-0.50030000000000008</v>
      </c>
      <c r="H74" s="872">
        <f>-'R4 - Incentives and Other Rev'!H41</f>
        <v>-0.50030000000000008</v>
      </c>
      <c r="I74" s="827"/>
      <c r="J74" s="873">
        <f>SUM(D74:INDEX(D74:H74,0,MATCH('RFPR cover'!$C$9,$D$6:$H$6,0)))</f>
        <v>-0.2004586055112374</v>
      </c>
      <c r="K74" s="873">
        <f t="shared" si="20"/>
        <v>-2.7508586055112376</v>
      </c>
      <c r="L74" s="52"/>
    </row>
    <row r="75" spans="1:12">
      <c r="A75" s="49" t="s">
        <v>203</v>
      </c>
      <c r="B75" s="573" t="str">
        <f>'R4 - Incentives and Other Rev'!B48</f>
        <v>Carry-over Network innovation input for RORE</v>
      </c>
      <c r="C75" s="695" t="str">
        <f>Data!$C$9</f>
        <v>£m 18/19</v>
      </c>
      <c r="D75" s="872">
        <f>-'R4 - Incentives and Other Rev'!D48</f>
        <v>-1.1234337229874469E-2</v>
      </c>
      <c r="E75" s="872">
        <f>-'R4 - Incentives and Other Rev'!E48</f>
        <v>0</v>
      </c>
      <c r="F75" s="872">
        <f>-'R4 - Incentives and Other Rev'!F48</f>
        <v>0</v>
      </c>
      <c r="G75" s="872">
        <f>-'R4 - Incentives and Other Rev'!G48</f>
        <v>0</v>
      </c>
      <c r="H75" s="872">
        <f>-'R4 - Incentives and Other Rev'!H48</f>
        <v>0</v>
      </c>
      <c r="I75" s="827"/>
      <c r="J75" s="873">
        <f>SUM(D75:INDEX(D75:H75,0,MATCH('RFPR cover'!$C$9,$D$6:$H$6,0)))</f>
        <v>-1.1234337229874469E-2</v>
      </c>
      <c r="K75" s="873">
        <f t="shared" si="20"/>
        <v>-1.1234337229874469E-2</v>
      </c>
      <c r="L75" s="52"/>
    </row>
    <row r="76" spans="1:12">
      <c r="A76" s="49" t="s">
        <v>204</v>
      </c>
      <c r="B76" s="573" t="str">
        <f>'R4 - Incentives and Other Rev'!B55</f>
        <v>Strategic innovation input for RORE</v>
      </c>
      <c r="C76" s="695" t="str">
        <f>Data!$C$9</f>
        <v>£m 18/19</v>
      </c>
      <c r="D76" s="872">
        <f>-'R4 - Incentives and Other Rev'!D55</f>
        <v>0</v>
      </c>
      <c r="E76" s="872">
        <f>-'R4 - Incentives and Other Rev'!E55</f>
        <v>0</v>
      </c>
      <c r="F76" s="872">
        <f>-'R4 - Incentives and Other Rev'!F55</f>
        <v>0</v>
      </c>
      <c r="G76" s="872">
        <f>-'R4 - Incentives and Other Rev'!G55</f>
        <v>0</v>
      </c>
      <c r="H76" s="872">
        <f>-'R4 - Incentives and Other Rev'!H55</f>
        <v>0</v>
      </c>
      <c r="I76" s="827"/>
      <c r="J76" s="873">
        <f>SUM(D76:INDEX(D76:H76,0,MATCH('RFPR cover'!$C$9,$D$6:$H$6,0)))</f>
        <v>0</v>
      </c>
      <c r="K76" s="873">
        <f t="shared" ref="K76" si="21">SUM(D76:H76)</f>
        <v>0</v>
      </c>
      <c r="L76" s="52"/>
    </row>
    <row r="77" spans="1:12">
      <c r="A77" s="49" t="s">
        <v>205</v>
      </c>
      <c r="B77" s="573" t="str">
        <f>'R4 - Incentives and Other Rev'!B62</f>
        <v/>
      </c>
      <c r="C77" s="695" t="str">
        <f>Data!$C$9</f>
        <v>£m 18/19</v>
      </c>
      <c r="D77" s="872">
        <f>'R4 - Incentives and Other Rev'!D62</f>
        <v>0</v>
      </c>
      <c r="E77" s="872">
        <f>'R4 - Incentives and Other Rev'!E62</f>
        <v>0</v>
      </c>
      <c r="F77" s="872">
        <f>'R4 - Incentives and Other Rev'!F62</f>
        <v>0</v>
      </c>
      <c r="G77" s="872">
        <f>'R4 - Incentives and Other Rev'!G62</f>
        <v>0</v>
      </c>
      <c r="H77" s="872">
        <f>'R4 - Incentives and Other Rev'!H62</f>
        <v>0</v>
      </c>
      <c r="I77" s="827"/>
      <c r="J77" s="873">
        <f>SUM(D77:INDEX(D77:H77,0,MATCH('RFPR cover'!$C$9,$D$6:$H$6,0)))</f>
        <v>0</v>
      </c>
      <c r="K77" s="873">
        <f t="shared" si="20"/>
        <v>0</v>
      </c>
      <c r="L77" s="52"/>
    </row>
    <row r="78" spans="1:12">
      <c r="A78" s="49" t="s">
        <v>206</v>
      </c>
      <c r="B78" s="573" t="str">
        <f>'R4 - Incentives and Other Rev'!B63</f>
        <v/>
      </c>
      <c r="C78" s="695" t="str">
        <f>Data!$C$9</f>
        <v>£m 18/19</v>
      </c>
      <c r="D78" s="872">
        <f>'R4 - Incentives and Other Rev'!D63</f>
        <v>0</v>
      </c>
      <c r="E78" s="872">
        <f>'R4 - Incentives and Other Rev'!E63</f>
        <v>0</v>
      </c>
      <c r="F78" s="872">
        <f>'R4 - Incentives and Other Rev'!F63</f>
        <v>0</v>
      </c>
      <c r="G78" s="872">
        <f>'R4 - Incentives and Other Rev'!G63</f>
        <v>0</v>
      </c>
      <c r="H78" s="872">
        <f>'R4 - Incentives and Other Rev'!H63</f>
        <v>0</v>
      </c>
      <c r="I78" s="827"/>
      <c r="J78" s="873">
        <f>SUM(D78:INDEX(D78:H78,0,MATCH('RFPR cover'!$C$9,$D$6:$H$6,0)))</f>
        <v>0</v>
      </c>
      <c r="K78" s="873">
        <f t="shared" si="20"/>
        <v>0</v>
      </c>
      <c r="L78" s="52"/>
    </row>
    <row r="79" spans="1:12">
      <c r="A79" s="49" t="s">
        <v>207</v>
      </c>
      <c r="B79" s="573" t="str">
        <f>'R4 - Incentives and Other Rev'!B64</f>
        <v/>
      </c>
      <c r="C79" s="695" t="str">
        <f>Data!$C$9</f>
        <v>£m 18/19</v>
      </c>
      <c r="D79" s="872">
        <f>'R4 - Incentives and Other Rev'!D64</f>
        <v>0</v>
      </c>
      <c r="E79" s="872">
        <f>'R4 - Incentives and Other Rev'!E64</f>
        <v>0</v>
      </c>
      <c r="F79" s="872">
        <f>'R4 - Incentives and Other Rev'!F64</f>
        <v>0</v>
      </c>
      <c r="G79" s="872">
        <f>'R4 - Incentives and Other Rev'!G64</f>
        <v>0</v>
      </c>
      <c r="H79" s="872">
        <f>'R4 - Incentives and Other Rev'!H64</f>
        <v>0</v>
      </c>
      <c r="I79" s="827"/>
      <c r="J79" s="873">
        <f>SUM(D79:INDEX(D79:H79,0,MATCH('RFPR cover'!$C$9,$D$6:$H$6,0)))</f>
        <v>0</v>
      </c>
      <c r="K79" s="873">
        <f t="shared" si="20"/>
        <v>0</v>
      </c>
      <c r="L79" s="52"/>
    </row>
    <row r="80" spans="1:12">
      <c r="A80" s="49" t="s">
        <v>208</v>
      </c>
      <c r="B80" s="573" t="str">
        <f>'R4 - Incentives and Other Rev'!B65</f>
        <v/>
      </c>
      <c r="C80" s="695" t="str">
        <f>Data!$C$9</f>
        <v>£m 18/19</v>
      </c>
      <c r="D80" s="872">
        <f>'R4 - Incentives and Other Rev'!D65</f>
        <v>0</v>
      </c>
      <c r="E80" s="872">
        <f>'R4 - Incentives and Other Rev'!E65</f>
        <v>0</v>
      </c>
      <c r="F80" s="872">
        <f>'R4 - Incentives and Other Rev'!F65</f>
        <v>0</v>
      </c>
      <c r="G80" s="872">
        <f>'R4 - Incentives and Other Rev'!G65</f>
        <v>0</v>
      </c>
      <c r="H80" s="872">
        <f>'R4 - Incentives and Other Rev'!H65</f>
        <v>0</v>
      </c>
      <c r="I80" s="827"/>
      <c r="J80" s="873">
        <f>SUM(D80:INDEX(D80:H80,0,MATCH('RFPR cover'!$C$9,$D$6:$H$6,0)))</f>
        <v>0</v>
      </c>
      <c r="K80" s="873">
        <f>SUM(D80:H80)</f>
        <v>0</v>
      </c>
      <c r="L80" s="52"/>
    </row>
    <row r="81" spans="1:14">
      <c r="A81" s="49" t="s">
        <v>209</v>
      </c>
      <c r="B81" s="573" t="str">
        <f>'R4 - Incentives and Other Rev'!B66</f>
        <v/>
      </c>
      <c r="C81" s="695" t="str">
        <f>Data!$C$9</f>
        <v>£m 18/19</v>
      </c>
      <c r="D81" s="872">
        <f>'R4 - Incentives and Other Rev'!D66</f>
        <v>0</v>
      </c>
      <c r="E81" s="872">
        <f>'R4 - Incentives and Other Rev'!E66</f>
        <v>0</v>
      </c>
      <c r="F81" s="872">
        <f>'R4 - Incentives and Other Rev'!F66</f>
        <v>0</v>
      </c>
      <c r="G81" s="872">
        <f>'R4 - Incentives and Other Rev'!G66</f>
        <v>0</v>
      </c>
      <c r="H81" s="872">
        <f>'R4 - Incentives and Other Rev'!H66</f>
        <v>0</v>
      </c>
      <c r="I81" s="827"/>
      <c r="J81" s="873">
        <f>SUM(D81:INDEX(D81:H81,0,MATCH('RFPR cover'!$C$9,$D$6:$H$6,0)))</f>
        <v>0</v>
      </c>
      <c r="K81" s="873">
        <f>SUM(D81:H81)</f>
        <v>0</v>
      </c>
      <c r="L81" s="52"/>
    </row>
    <row r="82" spans="1:14" ht="14" thickBot="1">
      <c r="B82" s="421" t="s">
        <v>217</v>
      </c>
      <c r="C82" s="695" t="str">
        <f>Data!$C$9</f>
        <v>£m 18/19</v>
      </c>
      <c r="D82" s="875">
        <f>-'R10 - Pensions &amp; Oth Activities'!D54</f>
        <v>0</v>
      </c>
      <c r="E82" s="875">
        <f>-'R10 - Pensions &amp; Oth Activities'!E54</f>
        <v>0</v>
      </c>
      <c r="F82" s="875">
        <f>-'R10 - Pensions &amp; Oth Activities'!F54</f>
        <v>0</v>
      </c>
      <c r="G82" s="875">
        <f>-'R10 - Pensions &amp; Oth Activities'!G54</f>
        <v>0</v>
      </c>
      <c r="H82" s="875">
        <f>-'R10 - Pensions &amp; Oth Activities'!H54</f>
        <v>0</v>
      </c>
      <c r="I82" s="827"/>
      <c r="J82" s="876">
        <f>SUM(D82:INDEX(D82:H82,0,MATCH('RFPR cover'!$C$9,$D$6:$H$6,0)))</f>
        <v>0</v>
      </c>
      <c r="K82" s="876">
        <f t="shared" si="20"/>
        <v>0</v>
      </c>
      <c r="L82" s="52"/>
    </row>
    <row r="83" spans="1:14" ht="14" thickBot="1">
      <c r="B83" s="422" t="s">
        <v>218</v>
      </c>
      <c r="C83" s="424" t="str">
        <f>Data!$C$9</f>
        <v>£m 18/19</v>
      </c>
      <c r="D83" s="877">
        <f>SUM(D65:D82)</f>
        <v>94.197850364036498</v>
      </c>
      <c r="E83" s="878">
        <f>SUM(E65:E82)</f>
        <v>104.81517087356092</v>
      </c>
      <c r="F83" s="878">
        <f>SUM(F65:F82)</f>
        <v>109.62871745889468</v>
      </c>
      <c r="G83" s="878">
        <f>SUM(G65:G82)</f>
        <v>105.04059754727234</v>
      </c>
      <c r="H83" s="879">
        <f>SUM(H65:H82)</f>
        <v>102.8107545873178</v>
      </c>
      <c r="I83" s="834"/>
      <c r="J83" s="877">
        <f>SUM(J65:J82)</f>
        <v>94.197850364036498</v>
      </c>
      <c r="K83" s="879">
        <f>SUM(K65:K82)</f>
        <v>516.49309083108221</v>
      </c>
      <c r="L83" s="52"/>
    </row>
    <row r="84" spans="1:14">
      <c r="B84" s="421" t="s">
        <v>219</v>
      </c>
      <c r="C84" s="695" t="str">
        <f>Data!$C$9</f>
        <v>£m 18/19</v>
      </c>
      <c r="D84" s="880">
        <f>IFERROR('R5 - Financing'!D85+'R8 - Tax'!E67,0)</f>
        <v>-40.75973653081104</v>
      </c>
      <c r="E84" s="880">
        <f>IFERROR('R5 - Financing'!E85+'R8 - Tax'!F67,0)</f>
        <v>-27.388220615006958</v>
      </c>
      <c r="F84" s="880">
        <f>IFERROR('R5 - Financing'!F85+'R8 - Tax'!G67,0)</f>
        <v>-29.704988573466252</v>
      </c>
      <c r="G84" s="880">
        <f>IFERROR('R5 - Financing'!G85+'R8 - Tax'!H67,0)</f>
        <v>-42.119797843231702</v>
      </c>
      <c r="H84" s="880">
        <f>IFERROR('R5 - Financing'!H85+'R8 - Tax'!I67,0)</f>
        <v>-35.451121969604529</v>
      </c>
      <c r="I84" s="827"/>
      <c r="J84" s="881">
        <f>SUM(D84:INDEX(D84:H84,0,MATCH('RFPR cover'!$C$9,$D$6:$H$6,0)))</f>
        <v>-40.75973653081104</v>
      </c>
      <c r="K84" s="881">
        <f>SUM(D84:H84)</f>
        <v>-175.42386553212049</v>
      </c>
      <c r="L84" s="52"/>
    </row>
    <row r="85" spans="1:14">
      <c r="B85" s="421" t="s">
        <v>220</v>
      </c>
      <c r="C85" s="695" t="str">
        <f>Data!$C$9</f>
        <v>£m 18/19</v>
      </c>
      <c r="D85" s="882">
        <f>IFERROR('R5 - Financing'!D87+'R8 - Tax'!E68,0)</f>
        <v>6.7280922315267464</v>
      </c>
      <c r="E85" s="882">
        <f>IFERROR('R5 - Financing'!E87+'R8 - Tax'!F68,0)</f>
        <v>4.8747501360340006</v>
      </c>
      <c r="F85" s="882">
        <f>IFERROR('R5 - Financing'!F87+'R8 - Tax'!G68,0)</f>
        <v>0.19457532436531899</v>
      </c>
      <c r="G85" s="882">
        <f>IFERROR('R5 - Financing'!G87+'R8 - Tax'!H68,0)</f>
        <v>0.33958279670738634</v>
      </c>
      <c r="H85" s="882">
        <f>IFERROR('R5 - Financing'!H87+'R8 - Tax'!I68,0)</f>
        <v>0.15039589024612354</v>
      </c>
      <c r="I85" s="827"/>
      <c r="J85" s="873">
        <f>SUM(D85:INDEX(D85:H85,0,MATCH('RFPR cover'!$C$9,$D$6:$H$6,0)))</f>
        <v>6.7280922315267464</v>
      </c>
      <c r="K85" s="873">
        <f>SUM(D85:H85)</f>
        <v>12.287396378879576</v>
      </c>
      <c r="L85" s="52"/>
    </row>
    <row r="86" spans="1:14">
      <c r="B86" s="421" t="s">
        <v>221</v>
      </c>
      <c r="C86" s="695" t="str">
        <f>Data!$C$9</f>
        <v>£m 18/19</v>
      </c>
      <c r="D86" s="882">
        <f>'R8 - Tax'!E60-'R8 - Tax'!E67</f>
        <v>-7.9369560071677761</v>
      </c>
      <c r="E86" s="882">
        <f>'R8 - Tax'!F60-'R8 - Tax'!F67</f>
        <v>-5.0701456790696469</v>
      </c>
      <c r="F86" s="882">
        <f>'R8 - Tax'!G60-'R8 - Tax'!G67</f>
        <v>-9.7396390275824505</v>
      </c>
      <c r="G86" s="882">
        <f>'R8 - Tax'!H60-'R8 - Tax'!H67</f>
        <v>-13.831134577746871</v>
      </c>
      <c r="H86" s="882">
        <f>'R8 - Tax'!I60-'R8 - Tax'!I67</f>
        <v>-11.673097171338</v>
      </c>
      <c r="I86" s="827"/>
      <c r="J86" s="873">
        <f>SUM(D86:INDEX(D86:H86,0,MATCH('RFPR cover'!$C$9,$D$6:$H$6,0)))</f>
        <v>-7.9369560071677761</v>
      </c>
      <c r="K86" s="873">
        <f>SUM(D86:H86)</f>
        <v>-48.250972462904748</v>
      </c>
      <c r="L86" s="52"/>
    </row>
    <row r="87" spans="1:14" ht="14" thickBot="1">
      <c r="B87" s="421" t="s">
        <v>222</v>
      </c>
      <c r="C87" s="695" t="str">
        <f>Data!$C$9</f>
        <v>£m 18/19</v>
      </c>
      <c r="D87" s="883">
        <f>'R8 - Tax'!E62-'R8 - Tax'!E68</f>
        <v>-5.3290705182007514E-15</v>
      </c>
      <c r="E87" s="883">
        <f>'R8 - Tax'!F62-'R8 - Tax'!F68</f>
        <v>-1.7763568394002505E-15</v>
      </c>
      <c r="F87" s="883">
        <f>'R8 - Tax'!G62-'R8 - Tax'!G68</f>
        <v>5.3290705182007514E-15</v>
      </c>
      <c r="G87" s="883">
        <f>'R8 - Tax'!H62-'R8 - Tax'!H68</f>
        <v>3.5527136788005009E-15</v>
      </c>
      <c r="H87" s="883">
        <f>'R8 - Tax'!I62-'R8 - Tax'!I68</f>
        <v>7.1054273576010019E-15</v>
      </c>
      <c r="I87" s="827"/>
      <c r="J87" s="876">
        <f>SUM(D87:INDEX(D87:H87,0,MATCH('RFPR cover'!$C$9,$D$6:$H$6,0)))</f>
        <v>-5.3290705182007514E-15</v>
      </c>
      <c r="K87" s="876">
        <f>SUM(D87:H87)</f>
        <v>8.8817841970012523E-15</v>
      </c>
      <c r="L87" s="52"/>
    </row>
    <row r="88" spans="1:14" ht="14" thickBot="1">
      <c r="B88" s="422" t="s">
        <v>223</v>
      </c>
      <c r="C88" s="424" t="str">
        <f>Data!$C$9</f>
        <v>£m 18/19</v>
      </c>
      <c r="D88" s="884">
        <f>IF(OR(Licensee=Data!$B$78,Licensee=Data!$B$81),"N/A",SUM(D83:D87))</f>
        <v>52.229250057584416</v>
      </c>
      <c r="E88" s="885">
        <f>IF(OR(Licensee=Data!$B$78,Licensee=Data!$B$81),"N/A",SUM(E83:E87))</f>
        <v>77.231554715518314</v>
      </c>
      <c r="F88" s="885">
        <f>IF(OR(Licensee=Data!$B$78,Licensee=Data!$B$81),"N/A",SUM(F83:F87))</f>
        <v>70.378665182211293</v>
      </c>
      <c r="G88" s="885">
        <f>IF(OR(Licensee=Data!$B$78,Licensee=Data!$B$81),"N/A",SUM(G83:G87))</f>
        <v>49.429247923001157</v>
      </c>
      <c r="H88" s="886">
        <f>IF(OR(Licensee=Data!$B$78,Licensee=Data!$B$81),"N/A",SUM(H83:H87))</f>
        <v>55.836931336621397</v>
      </c>
      <c r="I88" s="834"/>
      <c r="J88" s="877">
        <f>SUM(J83:J87)</f>
        <v>52.229250057584416</v>
      </c>
      <c r="K88" s="879">
        <f>SUM(K83:K87)</f>
        <v>305.10564921493653</v>
      </c>
      <c r="L88" s="52"/>
    </row>
    <row r="89" spans="1:14">
      <c r="D89" s="887"/>
      <c r="E89" s="888"/>
      <c r="F89" s="888"/>
      <c r="G89" s="888"/>
      <c r="H89" s="888"/>
      <c r="I89" s="827"/>
      <c r="J89" s="888"/>
      <c r="K89" s="888"/>
      <c r="L89" s="52"/>
      <c r="N89" s="52"/>
    </row>
    <row r="90" spans="1:14">
      <c r="B90" s="554" t="s">
        <v>224</v>
      </c>
      <c r="C90" s="423" t="str">
        <f>Data!$C$9</f>
        <v>£m 18/19</v>
      </c>
      <c r="D90" s="872">
        <f>'R7 - RAV'!E40</f>
        <v>2305.9386637139546</v>
      </c>
      <c r="E90" s="872">
        <f>'R7 - RAV'!F40</f>
        <v>2279.8138186625797</v>
      </c>
      <c r="F90" s="872">
        <f>'R7 - RAV'!G40</f>
        <v>2276.8527603244279</v>
      </c>
      <c r="G90" s="872">
        <f>'R7 - RAV'!H40</f>
        <v>2259.4832843301715</v>
      </c>
      <c r="H90" s="872">
        <f>'R7 - RAV'!I40</f>
        <v>2213.6259868258931</v>
      </c>
      <c r="I90" s="827"/>
      <c r="J90" s="888"/>
      <c r="K90" s="888"/>
      <c r="L90" s="52"/>
    </row>
    <row r="91" spans="1:14">
      <c r="B91" s="421" t="s">
        <v>225</v>
      </c>
      <c r="C91" s="423" t="str">
        <f>Data!$C$9</f>
        <v>£m 18/19</v>
      </c>
      <c r="D91" s="872">
        <f>IFERROR('R6 - Net Debt'!D63,0)</f>
        <v>2542.9351993245364</v>
      </c>
      <c r="E91" s="872">
        <f>IFERROR('R6 - Net Debt'!E63,0)</f>
        <v>2488.1462172662732</v>
      </c>
      <c r="F91" s="872">
        <f>IFERROR('R6 - Net Debt'!F63,0)</f>
        <v>2285.5303745209389</v>
      </c>
      <c r="G91" s="872">
        <f>IFERROR('R6 - Net Debt'!G63,0)</f>
        <v>2272.6568659274431</v>
      </c>
      <c r="H91" s="872">
        <f>IFERROR('R6 - Net Debt'!H63,0)</f>
        <v>2219.94470724336</v>
      </c>
      <c r="I91" s="827"/>
      <c r="J91" s="888"/>
      <c r="K91" s="888"/>
      <c r="L91" s="52"/>
    </row>
    <row r="92" spans="1:14">
      <c r="L92" s="52"/>
    </row>
    <row r="93" spans="1:14">
      <c r="L93" s="52"/>
    </row>
    <row r="94" spans="1:14">
      <c r="L94" s="52"/>
    </row>
  </sheetData>
  <sheetProtection algorithmName="SHA-512" hashValue="a1PwpaE8IEqgdPMkqT4DJWVZLknT67XeLicJpa2KaS7MqdoDT1j5xuUkPRX4Z3bgkl1Pe1mTFW9x8MRdQ6l9gQ==" saltValue="DV2fqpBI0jaw17zHk++n0Q==" spinCount="100000" sheet="1" objects="1" scenarios="1"/>
  <phoneticPr fontId="265" type="noConversion"/>
  <conditionalFormatting sqref="D6:G6">
    <cfRule type="expression" dxfId="98" priority="8">
      <formula>AND(D$5="Actuals",E$5="Forecast")</formula>
    </cfRule>
  </conditionalFormatting>
  <conditionalFormatting sqref="H6">
    <cfRule type="expression" dxfId="97" priority="201">
      <formula>AND(H$5="Actuals",#REF!="Forecast")</formula>
    </cfRule>
  </conditionalFormatting>
  <conditionalFormatting sqref="D7:H7">
    <cfRule type="expression" dxfId="96" priority="2">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headerFooter>
    <oddFooter>&amp;C_x000D_&amp;1#&amp;"Calibri"&amp;10&amp;K000000 OFFICIAL-InternalOnly</oddFooter>
  </headerFooter>
  <customProperties>
    <customPr name="EpmWorksheetKeyString_GUID" r:id="rId2"/>
  </customProperties>
  <ignoredErrors>
    <ignoredError sqref="J29:K29 J83:K83" formula="1"/>
    <ignoredError sqref="J86:K88 D86:H8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T141"/>
  <sheetViews>
    <sheetView showGridLines="0" zoomScaleNormal="100" workbookViewId="0">
      <pane ySplit="7" topLeftCell="A92" activePane="bottomLeft" state="frozen"/>
      <selection pane="bottomLeft" activeCell="M109" sqref="M109"/>
    </sheetView>
  </sheetViews>
  <sheetFormatPr defaultRowHeight="13.5" outlineLevelCol="1"/>
  <cols>
    <col min="1" max="1" width="8.3828125" customWidth="1"/>
    <col min="2" max="2" width="58.3828125" style="52" customWidth="1"/>
    <col min="3" max="3" width="22.15234375" style="52" customWidth="1"/>
    <col min="4" max="4" width="13.3828125" style="42" customWidth="1"/>
    <col min="5" max="9" width="11.15234375" style="24" customWidth="1"/>
    <col min="10" max="10" width="5" customWidth="1"/>
    <col min="11" max="20" width="9.23046875" customWidth="1" outlineLevel="1"/>
  </cols>
  <sheetData>
    <row r="1" spans="1:10" ht="20">
      <c r="A1" s="677" t="s">
        <v>226</v>
      </c>
      <c r="B1" s="384"/>
      <c r="C1" s="384"/>
      <c r="D1" s="385"/>
      <c r="E1" s="889"/>
      <c r="F1" s="889"/>
      <c r="G1" s="889"/>
      <c r="H1" s="889"/>
      <c r="I1" s="889"/>
      <c r="J1" s="682"/>
    </row>
    <row r="2" spans="1:10" ht="20">
      <c r="A2" s="295" t="str">
        <f t="shared" ref="A2" si="0">Licensee</f>
        <v>NGGT (TO)</v>
      </c>
      <c r="B2" s="298"/>
      <c r="C2" s="298"/>
      <c r="D2" s="41"/>
      <c r="E2" s="850"/>
      <c r="F2" s="850"/>
      <c r="G2" s="850"/>
      <c r="H2" s="850"/>
      <c r="I2" s="850"/>
      <c r="J2" s="38"/>
    </row>
    <row r="3" spans="1:10" ht="20">
      <c r="A3" s="534">
        <f>Reporting_Year</f>
        <v>2022</v>
      </c>
      <c r="B3" s="526"/>
      <c r="C3" s="526"/>
      <c r="D3" s="527"/>
      <c r="E3" s="852"/>
      <c r="F3" s="852"/>
      <c r="G3" s="852"/>
      <c r="H3" s="852"/>
      <c r="I3" s="852"/>
      <c r="J3" s="68"/>
    </row>
    <row r="4" spans="1:10" s="2" customFormat="1" ht="12.75" customHeight="1">
      <c r="B4" s="39"/>
      <c r="C4" s="39"/>
      <c r="D4" s="42"/>
      <c r="E4" s="337"/>
      <c r="F4" s="337"/>
      <c r="G4" s="337"/>
      <c r="H4" s="337"/>
      <c r="I4" s="337"/>
    </row>
    <row r="5" spans="1:10" s="2" customFormat="1">
      <c r="B5" s="39"/>
      <c r="C5" s="39"/>
      <c r="D5" s="42"/>
      <c r="E5" s="512" t="str">
        <f>IF(E6&lt;=Reporting_Year,"Actuals","Forecast")</f>
        <v>Actuals</v>
      </c>
      <c r="F5" s="512" t="str">
        <f>IF(F6&lt;=Reporting_Year,"Actuals","Forecast")</f>
        <v>Forecast</v>
      </c>
      <c r="G5" s="512" t="str">
        <f>IF(G6&lt;=Reporting_Year,"Actuals","Forecast")</f>
        <v>Forecast</v>
      </c>
      <c r="H5" s="512" t="str">
        <f>IF(H6&lt;=Reporting_Year,"Actuals","Forecast")</f>
        <v>Forecast</v>
      </c>
      <c r="I5" s="512" t="str">
        <f>IF(I6&lt;=Reporting_Year,"Actuals","Forecast")</f>
        <v>Forecast</v>
      </c>
    </row>
    <row r="6" spans="1:10" s="2" customFormat="1">
      <c r="B6" s="39"/>
      <c r="C6" s="39"/>
      <c r="D6" s="42"/>
      <c r="E6" s="515">
        <f>RIIO_2_start_date</f>
        <v>2022</v>
      </c>
      <c r="F6" s="515">
        <f>E6+1</f>
        <v>2023</v>
      </c>
      <c r="G6" s="515">
        <f>F6+1</f>
        <v>2024</v>
      </c>
      <c r="H6" s="515">
        <f t="shared" ref="H6:I6" si="1">G6+1</f>
        <v>2025</v>
      </c>
      <c r="I6" s="515">
        <f t="shared" si="1"/>
        <v>2026</v>
      </c>
    </row>
    <row r="7" spans="1:10" s="2" customFormat="1">
      <c r="B7" s="237"/>
      <c r="C7" s="237"/>
      <c r="D7" s="46"/>
      <c r="E7" s="401" t="str">
        <f>RIIO_2_start_date-1&amp;"/"&amp;RIGHT(RIIO_2_start_date,2)</f>
        <v>2021/22</v>
      </c>
      <c r="F7" s="401" t="str">
        <f>RIIO_2_start_date&amp;"/"&amp;RIGHT(RIIO_2_start_date+1,2)</f>
        <v>2022/23</v>
      </c>
      <c r="G7" s="401" t="str">
        <f>RIIO_2_start_date+1&amp;"/"&amp;RIGHT(RIIO_2_start_date+2,2)</f>
        <v>2023/24</v>
      </c>
      <c r="H7" s="401" t="str">
        <f>RIIO_2_start_date+2&amp;"/"&amp;RIGHT(RIIO_2_start_date+3,2)</f>
        <v>2024/25</v>
      </c>
      <c r="I7" s="401" t="str">
        <f>RIIO_2_start_date+3&amp;"/"&amp;RIGHT(RIIO_2_start_date+4,2)</f>
        <v>2025/26</v>
      </c>
    </row>
    <row r="8" spans="1:10" s="2" customFormat="1">
      <c r="B8" s="237"/>
      <c r="C8" s="237"/>
      <c r="D8" s="46"/>
      <c r="E8" s="890"/>
      <c r="F8" s="890"/>
      <c r="G8" s="890"/>
      <c r="H8" s="890"/>
      <c r="I8" s="890"/>
    </row>
    <row r="9" spans="1:10" s="2" customFormat="1">
      <c r="B9" s="238" t="s">
        <v>227</v>
      </c>
      <c r="C9" s="238"/>
      <c r="D9" s="44"/>
      <c r="E9" s="891"/>
      <c r="F9" s="891"/>
      <c r="G9" s="891"/>
      <c r="H9" s="891"/>
      <c r="I9" s="891"/>
      <c r="J9" s="34"/>
    </row>
    <row r="10" spans="1:10" s="2" customFormat="1">
      <c r="B10" s="237"/>
      <c r="C10" s="237"/>
      <c r="D10" s="46"/>
      <c r="E10" s="890"/>
      <c r="F10" s="890"/>
      <c r="G10" s="890"/>
      <c r="H10" s="890"/>
      <c r="I10" s="890"/>
    </row>
    <row r="11" spans="1:10" s="2" customFormat="1">
      <c r="B11" s="577" t="s">
        <v>228</v>
      </c>
      <c r="C11" s="237"/>
      <c r="D11" s="42"/>
      <c r="E11" s="337"/>
      <c r="F11" s="337"/>
      <c r="G11" s="337"/>
      <c r="H11" s="337"/>
      <c r="I11" s="337"/>
    </row>
    <row r="12" spans="1:10" s="2" customFormat="1">
      <c r="B12" s="204"/>
      <c r="C12" s="237"/>
      <c r="D12" s="42"/>
      <c r="E12" s="337"/>
      <c r="F12" s="337"/>
      <c r="G12" s="337"/>
      <c r="H12" s="337"/>
      <c r="I12" s="337"/>
    </row>
    <row r="13" spans="1:10" s="2" customFormat="1">
      <c r="B13" s="239" t="s">
        <v>229</v>
      </c>
      <c r="C13" s="24" t="str">
        <f>IF(Licensee="NGGT (SO)","SORt* x  PIt* / PI2018/19","Rt* x  PIt* / PI2018/19")</f>
        <v>Rt* x  PIt* / PI2018/19</v>
      </c>
      <c r="D13" s="45" t="s">
        <v>230</v>
      </c>
      <c r="E13" s="822">
        <v>840.4549529181885</v>
      </c>
      <c r="F13" s="822"/>
      <c r="G13" s="822"/>
      <c r="H13" s="822"/>
      <c r="I13" s="822"/>
    </row>
    <row r="14" spans="1:10" s="2" customFormat="1">
      <c r="B14" s="239" t="s">
        <v>231</v>
      </c>
      <c r="C14" s="309" t="str">
        <f>IF(Licensee="NGGT (SO)","SOADJt*","ADJt*")</f>
        <v>ADJt*</v>
      </c>
      <c r="D14" s="45" t="s">
        <v>230</v>
      </c>
      <c r="E14" s="822">
        <v>0</v>
      </c>
      <c r="F14" s="822"/>
      <c r="G14" s="822"/>
      <c r="H14" s="822"/>
      <c r="I14" s="822"/>
    </row>
    <row r="15" spans="1:10" s="2" customFormat="1">
      <c r="B15" s="239" t="s">
        <v>232</v>
      </c>
      <c r="C15" s="309" t="str">
        <f>IF(Licensee="NGGT (SO)","SOADJRt*","ADJRt*")</f>
        <v>ADJRt*</v>
      </c>
      <c r="D15" s="45" t="s">
        <v>230</v>
      </c>
      <c r="E15" s="824">
        <f>SUM(E13:E14)</f>
        <v>840.4549529181885</v>
      </c>
      <c r="F15" s="824">
        <f t="shared" ref="F15:I15" si="2">SUM(F13:F14)</f>
        <v>0</v>
      </c>
      <c r="G15" s="824">
        <f t="shared" si="2"/>
        <v>0</v>
      </c>
      <c r="H15" s="824">
        <f t="shared" si="2"/>
        <v>0</v>
      </c>
      <c r="I15" s="824">
        <f t="shared" si="2"/>
        <v>0</v>
      </c>
    </row>
    <row r="16" spans="1:10" s="2" customFormat="1">
      <c r="B16" s="239" t="s">
        <v>233</v>
      </c>
      <c r="C16" s="309" t="str">
        <f>IF(OR(Licensee="ESO",Licensee="NGGT (SO)"),"SOLARt","LARt")</f>
        <v>LARt</v>
      </c>
      <c r="D16" s="45" t="s">
        <v>230</v>
      </c>
      <c r="E16" s="822">
        <v>19.818125650590492</v>
      </c>
      <c r="F16" s="822"/>
      <c r="G16" s="822"/>
      <c r="H16" s="822"/>
      <c r="I16" s="822"/>
    </row>
    <row r="17" spans="2:10" s="2" customFormat="1">
      <c r="B17" s="239" t="s">
        <v>234</v>
      </c>
      <c r="C17" s="309" t="str">
        <f>IF(Licensee="NGGT (SO)","SOKt","Kt")</f>
        <v>Kt</v>
      </c>
      <c r="D17" s="45" t="s">
        <v>230</v>
      </c>
      <c r="E17" s="822">
        <v>120.73480242937933</v>
      </c>
      <c r="F17" s="822"/>
      <c r="G17" s="822"/>
      <c r="H17" s="822"/>
      <c r="I17" s="822"/>
    </row>
    <row r="18" spans="2:10" s="2" customFormat="1">
      <c r="B18" s="237" t="s">
        <v>235</v>
      </c>
      <c r="C18" s="237" t="str">
        <f>IF(Licensee="ESO","SOIARt",IF(Licensee="NGGT (SO)","SOARt","ARt"))</f>
        <v>ARt</v>
      </c>
      <c r="D18" s="46" t="s">
        <v>230</v>
      </c>
      <c r="E18" s="839">
        <f>SUM(E15:E17)</f>
        <v>981.00788099815827</v>
      </c>
      <c r="F18" s="839">
        <f t="shared" ref="F18:I18" si="3">SUM(F15:F17)</f>
        <v>0</v>
      </c>
      <c r="G18" s="839">
        <f t="shared" si="3"/>
        <v>0</v>
      </c>
      <c r="H18" s="839">
        <f t="shared" si="3"/>
        <v>0</v>
      </c>
      <c r="I18" s="839">
        <f t="shared" si="3"/>
        <v>0</v>
      </c>
    </row>
    <row r="19" spans="2:10" s="2" customFormat="1">
      <c r="B19" s="39"/>
      <c r="C19" s="39"/>
      <c r="D19" s="42"/>
      <c r="E19" s="840"/>
      <c r="F19" s="840"/>
      <c r="G19" s="840"/>
      <c r="H19" s="892"/>
      <c r="I19" s="892"/>
    </row>
    <row r="20" spans="2:10" s="2" customFormat="1">
      <c r="B20" s="39" t="s">
        <v>236</v>
      </c>
      <c r="C20" s="204"/>
      <c r="D20" s="46" t="s">
        <v>230</v>
      </c>
      <c r="E20" s="839">
        <f>IF(ISBLANK(E24),0,E24-E18)</f>
        <v>-42.942992888158301</v>
      </c>
      <c r="F20" s="839">
        <f t="shared" ref="F20:I20" si="4">IF(ISBLANK(F24),0,F24-F18)</f>
        <v>0</v>
      </c>
      <c r="G20" s="839">
        <f t="shared" si="4"/>
        <v>0</v>
      </c>
      <c r="H20" s="839">
        <f t="shared" si="4"/>
        <v>0</v>
      </c>
      <c r="I20" s="839">
        <f t="shared" si="4"/>
        <v>0</v>
      </c>
    </row>
    <row r="21" spans="2:10" s="2" customFormat="1">
      <c r="B21" s="39"/>
      <c r="C21" s="39"/>
      <c r="D21" s="42"/>
      <c r="E21" s="827"/>
      <c r="F21" s="827"/>
      <c r="G21" s="827"/>
      <c r="H21" s="827"/>
      <c r="I21" s="827"/>
    </row>
    <row r="22" spans="2:10" s="2" customFormat="1">
      <c r="B22" s="39"/>
      <c r="C22" s="39"/>
      <c r="D22" s="42"/>
      <c r="E22" s="827"/>
      <c r="F22" s="827"/>
      <c r="G22" s="827"/>
      <c r="H22" s="827"/>
      <c r="I22" s="827"/>
    </row>
    <row r="23" spans="2:10" s="2" customFormat="1">
      <c r="B23" s="39"/>
      <c r="C23" s="39"/>
      <c r="D23" s="42"/>
      <c r="E23" s="827"/>
      <c r="F23" s="827"/>
      <c r="G23" s="827"/>
      <c r="H23" s="827"/>
      <c r="I23" s="827"/>
    </row>
    <row r="24" spans="2:10" s="2" customFormat="1">
      <c r="B24" s="204" t="s">
        <v>1113</v>
      </c>
      <c r="C24" s="204" t="s">
        <v>238</v>
      </c>
      <c r="D24" s="46" t="s">
        <v>230</v>
      </c>
      <c r="E24" s="822">
        <v>938.06488810999997</v>
      </c>
      <c r="F24" s="822"/>
      <c r="G24" s="822"/>
      <c r="H24" s="822"/>
      <c r="I24" s="822"/>
    </row>
    <row r="25" spans="2:10" s="2" customFormat="1">
      <c r="B25" s="39"/>
      <c r="C25" s="39"/>
      <c r="D25" s="42"/>
      <c r="E25" s="827"/>
      <c r="F25" s="827"/>
      <c r="G25" s="827"/>
      <c r="H25" s="827"/>
      <c r="I25" s="827"/>
    </row>
    <row r="26" spans="2:10" s="2" customFormat="1">
      <c r="B26" s="204" t="s">
        <v>239</v>
      </c>
      <c r="C26" s="204"/>
      <c r="D26" s="42"/>
      <c r="E26" s="819"/>
      <c r="F26" s="819"/>
      <c r="G26" s="819"/>
      <c r="H26" s="819"/>
      <c r="I26" s="819"/>
      <c r="J26" s="42"/>
    </row>
    <row r="27" spans="2:10" s="2" customFormat="1">
      <c r="B27" s="310" t="s">
        <v>240</v>
      </c>
      <c r="C27" s="310"/>
      <c r="D27" s="46" t="s">
        <v>230</v>
      </c>
      <c r="E27" s="829">
        <v>0</v>
      </c>
      <c r="F27" s="829"/>
      <c r="G27" s="829"/>
      <c r="H27" s="829"/>
      <c r="I27" s="829"/>
    </row>
    <row r="28" spans="2:10" s="2" customFormat="1">
      <c r="B28" s="310" t="s">
        <v>241</v>
      </c>
      <c r="C28" s="310"/>
      <c r="D28" s="46" t="s">
        <v>230</v>
      </c>
      <c r="E28" s="829">
        <v>0</v>
      </c>
      <c r="F28" s="829"/>
      <c r="G28" s="829"/>
      <c r="H28" s="829"/>
      <c r="I28" s="829"/>
    </row>
    <row r="29" spans="2:10" s="2" customFormat="1">
      <c r="B29" s="310" t="s">
        <v>242</v>
      </c>
      <c r="C29" s="310"/>
      <c r="D29" s="46" t="s">
        <v>230</v>
      </c>
      <c r="E29" s="829">
        <v>19.700440250000003</v>
      </c>
      <c r="F29" s="829"/>
      <c r="G29" s="829"/>
      <c r="H29" s="829"/>
      <c r="I29" s="829"/>
    </row>
    <row r="30" spans="2:10" s="2" customFormat="1">
      <c r="B30" s="310" t="s">
        <v>243</v>
      </c>
      <c r="C30" s="310"/>
      <c r="D30" s="46" t="s">
        <v>230</v>
      </c>
      <c r="E30" s="829">
        <v>0</v>
      </c>
      <c r="F30" s="829"/>
      <c r="G30" s="829"/>
      <c r="H30" s="829"/>
      <c r="I30" s="829"/>
    </row>
    <row r="31" spans="2:10" s="2" customFormat="1">
      <c r="B31" s="310" t="s">
        <v>244</v>
      </c>
      <c r="C31" s="310"/>
      <c r="D31" s="46" t="s">
        <v>230</v>
      </c>
      <c r="E31" s="829">
        <v>0</v>
      </c>
      <c r="F31" s="829"/>
      <c r="G31" s="829"/>
      <c r="H31" s="829"/>
      <c r="I31" s="829"/>
    </row>
    <row r="32" spans="2:10" s="2" customFormat="1">
      <c r="B32" s="310" t="s">
        <v>245</v>
      </c>
      <c r="C32" s="310"/>
      <c r="D32" s="46" t="s">
        <v>230</v>
      </c>
      <c r="E32" s="829">
        <v>1.2692107200000002</v>
      </c>
      <c r="F32" s="829"/>
      <c r="G32" s="829"/>
      <c r="H32" s="829"/>
      <c r="I32" s="829"/>
    </row>
    <row r="33" spans="2:9" s="2" customFormat="1">
      <c r="B33" s="310" t="s">
        <v>246</v>
      </c>
      <c r="C33" s="310"/>
      <c r="D33" s="46" t="s">
        <v>230</v>
      </c>
      <c r="E33" s="829">
        <v>36.539631840000013</v>
      </c>
      <c r="F33" s="829"/>
      <c r="G33" s="829"/>
      <c r="H33" s="829"/>
      <c r="I33" s="829"/>
    </row>
    <row r="34" spans="2:9" s="2" customFormat="1">
      <c r="B34" s="427" t="s">
        <v>247</v>
      </c>
      <c r="C34" s="427"/>
      <c r="D34" s="46" t="s">
        <v>230</v>
      </c>
      <c r="E34" s="829">
        <v>0</v>
      </c>
      <c r="F34" s="829"/>
      <c r="G34" s="829"/>
      <c r="H34" s="829"/>
      <c r="I34" s="829"/>
    </row>
    <row r="35" spans="2:9" s="2" customFormat="1">
      <c r="B35" s="359" t="s">
        <v>248</v>
      </c>
      <c r="C35" s="308"/>
      <c r="D35" s="46" t="s">
        <v>230</v>
      </c>
      <c r="E35" s="829">
        <v>0</v>
      </c>
      <c r="F35" s="829"/>
      <c r="G35" s="829"/>
      <c r="H35" s="829"/>
      <c r="I35" s="829"/>
    </row>
    <row r="36" spans="2:9" s="2" customFormat="1">
      <c r="B36" s="204" t="s">
        <v>249</v>
      </c>
      <c r="C36" s="204"/>
      <c r="D36" s="46" t="s">
        <v>230</v>
      </c>
      <c r="E36" s="839">
        <f>SUM(E27:E35)</f>
        <v>57.509282810000016</v>
      </c>
      <c r="F36" s="839">
        <f t="shared" ref="F36:I36" si="5">SUM(F27:F35)</f>
        <v>0</v>
      </c>
      <c r="G36" s="839">
        <f t="shared" si="5"/>
        <v>0</v>
      </c>
      <c r="H36" s="839">
        <f t="shared" si="5"/>
        <v>0</v>
      </c>
      <c r="I36" s="839">
        <f t="shared" si="5"/>
        <v>0</v>
      </c>
    </row>
    <row r="37" spans="2:9" s="2" customFormat="1">
      <c r="B37" s="39"/>
      <c r="C37" s="39"/>
      <c r="D37" s="42"/>
      <c r="E37" s="827"/>
      <c r="F37" s="827"/>
      <c r="G37" s="827"/>
      <c r="H37" s="827"/>
      <c r="I37" s="827"/>
    </row>
    <row r="38" spans="2:9" s="2" customFormat="1">
      <c r="B38" s="204" t="s">
        <v>250</v>
      </c>
      <c r="D38" s="204"/>
      <c r="E38" s="893"/>
      <c r="F38" s="827"/>
      <c r="G38" s="827"/>
      <c r="H38" s="827"/>
      <c r="I38" s="827"/>
    </row>
    <row r="39" spans="2:9" s="2" customFormat="1">
      <c r="B39" s="359" t="s">
        <v>1126</v>
      </c>
      <c r="C39" s="359"/>
      <c r="D39" s="46" t="s">
        <v>230</v>
      </c>
      <c r="E39" s="829">
        <v>-39.133235790000001</v>
      </c>
      <c r="F39" s="829"/>
      <c r="G39" s="829"/>
      <c r="H39" s="829"/>
      <c r="I39" s="829"/>
    </row>
    <row r="40" spans="2:9" s="2" customFormat="1">
      <c r="B40" s="815" t="s">
        <v>1127</v>
      </c>
      <c r="C40" s="359"/>
      <c r="D40" s="46" t="s">
        <v>230</v>
      </c>
      <c r="E40" s="829">
        <v>0.22188430999999958</v>
      </c>
      <c r="F40" s="829"/>
      <c r="G40" s="829"/>
      <c r="H40" s="829"/>
      <c r="I40" s="829"/>
    </row>
    <row r="41" spans="2:9" s="2" customFormat="1">
      <c r="B41" s="815" t="s">
        <v>1098</v>
      </c>
      <c r="C41" s="359"/>
      <c r="D41" s="46" t="s">
        <v>230</v>
      </c>
      <c r="E41" s="829">
        <v>-0.89</v>
      </c>
      <c r="F41" s="829"/>
      <c r="G41" s="829"/>
      <c r="H41" s="829"/>
      <c r="I41" s="829"/>
    </row>
    <row r="42" spans="2:9" s="2" customFormat="1">
      <c r="B42" s="815" t="s">
        <v>1128</v>
      </c>
      <c r="C42" s="359"/>
      <c r="D42" s="46" t="s">
        <v>230</v>
      </c>
      <c r="E42" s="829">
        <v>-3.5887114199994801</v>
      </c>
      <c r="F42" s="829"/>
      <c r="G42" s="829"/>
      <c r="H42" s="829"/>
      <c r="I42" s="829"/>
    </row>
    <row r="43" spans="2:9" s="2" customFormat="1">
      <c r="B43" s="815" t="s">
        <v>251</v>
      </c>
      <c r="C43" s="359"/>
      <c r="D43" s="46" t="s">
        <v>230</v>
      </c>
      <c r="E43" s="829">
        <v>0</v>
      </c>
      <c r="F43" s="829"/>
      <c r="G43" s="829"/>
      <c r="H43" s="829"/>
      <c r="I43" s="829"/>
    </row>
    <row r="44" spans="2:9" s="2" customFormat="1">
      <c r="B44" s="815" t="s">
        <v>251</v>
      </c>
      <c r="C44" s="359"/>
      <c r="D44" s="46" t="s">
        <v>230</v>
      </c>
      <c r="E44" s="829">
        <v>0</v>
      </c>
      <c r="F44" s="829"/>
      <c r="G44" s="829"/>
      <c r="H44" s="829"/>
      <c r="I44" s="829"/>
    </row>
    <row r="45" spans="2:9" s="2" customFormat="1">
      <c r="B45" s="815" t="s">
        <v>251</v>
      </c>
      <c r="C45" s="359"/>
      <c r="D45" s="46" t="s">
        <v>230</v>
      </c>
      <c r="E45" s="829">
        <v>0</v>
      </c>
      <c r="F45" s="829"/>
      <c r="G45" s="829"/>
      <c r="H45" s="829"/>
      <c r="I45" s="829"/>
    </row>
    <row r="46" spans="2:9" s="2" customFormat="1">
      <c r="B46" s="815" t="s">
        <v>251</v>
      </c>
      <c r="C46" s="359"/>
      <c r="D46" s="46" t="s">
        <v>230</v>
      </c>
      <c r="E46" s="829">
        <v>0</v>
      </c>
      <c r="F46" s="829"/>
      <c r="G46" s="829"/>
      <c r="H46" s="829"/>
      <c r="I46" s="829"/>
    </row>
    <row r="47" spans="2:9" s="2" customFormat="1">
      <c r="B47" s="815" t="s">
        <v>251</v>
      </c>
      <c r="C47" s="359"/>
      <c r="D47" s="46" t="s">
        <v>230</v>
      </c>
      <c r="E47" s="829">
        <v>0</v>
      </c>
      <c r="F47" s="829"/>
      <c r="G47" s="829"/>
      <c r="H47" s="829"/>
      <c r="I47" s="829"/>
    </row>
    <row r="48" spans="2:9" s="2" customFormat="1">
      <c r="B48" s="815" t="s">
        <v>251</v>
      </c>
      <c r="C48" s="359"/>
      <c r="D48" s="46" t="s">
        <v>230</v>
      </c>
      <c r="E48" s="829">
        <v>0</v>
      </c>
      <c r="F48" s="829"/>
      <c r="G48" s="829"/>
      <c r="H48" s="829"/>
      <c r="I48" s="829"/>
    </row>
    <row r="49" spans="1:14" s="2" customFormat="1">
      <c r="B49" s="815" t="s">
        <v>251</v>
      </c>
      <c r="C49" s="359"/>
      <c r="D49" s="46" t="s">
        <v>230</v>
      </c>
      <c r="E49" s="829">
        <v>0</v>
      </c>
      <c r="F49" s="829"/>
      <c r="G49" s="829"/>
      <c r="H49" s="829"/>
      <c r="I49" s="829"/>
    </row>
    <row r="50" spans="1:14" s="2" customFormat="1">
      <c r="B50" s="815" t="s">
        <v>251</v>
      </c>
      <c r="C50" s="359"/>
      <c r="D50" s="46" t="s">
        <v>230</v>
      </c>
      <c r="E50" s="829">
        <v>0</v>
      </c>
      <c r="F50" s="829"/>
      <c r="G50" s="829"/>
      <c r="H50" s="829"/>
      <c r="I50" s="829"/>
    </row>
    <row r="51" spans="1:14" s="2" customFormat="1">
      <c r="B51" s="815" t="s">
        <v>251</v>
      </c>
      <c r="C51" s="359"/>
      <c r="D51" s="46" t="s">
        <v>230</v>
      </c>
      <c r="E51" s="829">
        <v>0</v>
      </c>
      <c r="F51" s="829"/>
      <c r="G51" s="829"/>
      <c r="H51" s="829"/>
      <c r="I51" s="829"/>
    </row>
    <row r="52" spans="1:14" s="2" customFormat="1">
      <c r="B52" s="815" t="s">
        <v>251</v>
      </c>
      <c r="C52" s="359"/>
      <c r="D52" s="46" t="s">
        <v>230</v>
      </c>
      <c r="E52" s="829">
        <v>0</v>
      </c>
      <c r="F52" s="829"/>
      <c r="G52" s="829"/>
      <c r="H52" s="829"/>
      <c r="I52" s="829"/>
    </row>
    <row r="53" spans="1:14" s="2" customFormat="1">
      <c r="B53" s="815" t="s">
        <v>251</v>
      </c>
      <c r="C53" s="359"/>
      <c r="D53" s="46" t="s">
        <v>230</v>
      </c>
      <c r="E53" s="829">
        <v>0</v>
      </c>
      <c r="F53" s="829"/>
      <c r="G53" s="829"/>
      <c r="H53" s="829"/>
      <c r="I53" s="829"/>
    </row>
    <row r="54" spans="1:14" s="2" customFormat="1">
      <c r="B54" s="815" t="s">
        <v>251</v>
      </c>
      <c r="C54" s="359"/>
      <c r="D54" s="46" t="s">
        <v>230</v>
      </c>
      <c r="E54" s="829">
        <v>0</v>
      </c>
      <c r="F54" s="829"/>
      <c r="G54" s="829"/>
      <c r="H54" s="829"/>
      <c r="I54" s="829"/>
    </row>
    <row r="55" spans="1:14" s="2" customFormat="1">
      <c r="B55" s="204" t="s">
        <v>252</v>
      </c>
      <c r="C55" s="204"/>
      <c r="D55" s="46" t="s">
        <v>230</v>
      </c>
      <c r="E55" s="839">
        <f t="shared" ref="E55:I55" si="6">SUM(E39:E54)</f>
        <v>-43.390062899999478</v>
      </c>
      <c r="F55" s="839">
        <f t="shared" si="6"/>
        <v>0</v>
      </c>
      <c r="G55" s="839">
        <f t="shared" si="6"/>
        <v>0</v>
      </c>
      <c r="H55" s="839">
        <f t="shared" si="6"/>
        <v>0</v>
      </c>
      <c r="I55" s="839">
        <f t="shared" si="6"/>
        <v>0</v>
      </c>
    </row>
    <row r="56" spans="1:14" s="2" customFormat="1">
      <c r="B56" s="39"/>
      <c r="C56" s="39"/>
      <c r="D56" s="42"/>
      <c r="E56" s="892"/>
      <c r="F56" s="892"/>
      <c r="G56" s="892"/>
      <c r="H56" s="892"/>
      <c r="I56" s="892"/>
    </row>
    <row r="57" spans="1:14" s="2" customFormat="1">
      <c r="B57" s="288" t="s">
        <v>253</v>
      </c>
      <c r="C57" s="288"/>
      <c r="D57" s="46" t="s">
        <v>230</v>
      </c>
      <c r="E57" s="839">
        <f t="shared" ref="E57:I57" si="7">E24+E36+E55</f>
        <v>952.18410802000051</v>
      </c>
      <c r="F57" s="839">
        <f t="shared" si="7"/>
        <v>0</v>
      </c>
      <c r="G57" s="839">
        <f t="shared" si="7"/>
        <v>0</v>
      </c>
      <c r="H57" s="839">
        <f t="shared" si="7"/>
        <v>0</v>
      </c>
      <c r="I57" s="839">
        <f t="shared" si="7"/>
        <v>0</v>
      </c>
    </row>
    <row r="58" spans="1:14" s="2" customFormat="1">
      <c r="B58" s="339" t="s">
        <v>254</v>
      </c>
      <c r="C58" s="339"/>
      <c r="D58" s="46" t="s">
        <v>230</v>
      </c>
      <c r="E58" s="829">
        <v>952.18136852999999</v>
      </c>
      <c r="F58" s="829"/>
      <c r="G58" s="829"/>
      <c r="H58" s="829"/>
      <c r="I58" s="829"/>
    </row>
    <row r="59" spans="1:14" s="2" customFormat="1">
      <c r="B59" s="39" t="s">
        <v>255</v>
      </c>
      <c r="C59" s="39"/>
      <c r="D59" s="42"/>
      <c r="E59" s="894" t="str">
        <f>IF(ABS(E57-E58)&lt;Data!$F$7,"OK","Error")</f>
        <v>OK</v>
      </c>
      <c r="F59" s="894" t="str">
        <f>IF(ABS(F57-F58)&lt;Data!$F$7,"OK","Error")</f>
        <v>OK</v>
      </c>
      <c r="G59" s="894" t="str">
        <f>IF(ABS(G57-G58)&lt;Data!$F$7,"OK","Error")</f>
        <v>OK</v>
      </c>
      <c r="H59" s="894" t="str">
        <f>IF(ABS(H57-H58)&lt;Data!$F$7,"OK","Error")</f>
        <v>OK</v>
      </c>
      <c r="I59" s="894" t="str">
        <f>IF(ABS(I57-I58)&lt;Data!$F$7,"OK","Error")</f>
        <v>OK</v>
      </c>
    </row>
    <row r="60" spans="1:14" s="2" customFormat="1">
      <c r="B60" s="39"/>
      <c r="C60" s="39"/>
      <c r="D60" s="42"/>
      <c r="E60" s="895"/>
      <c r="F60" s="895"/>
      <c r="G60" s="895"/>
      <c r="H60" s="895"/>
      <c r="I60" s="895"/>
    </row>
    <row r="61" spans="1:14" s="2" customFormat="1">
      <c r="B61" s="39"/>
      <c r="C61" s="39"/>
      <c r="D61" s="42"/>
      <c r="E61" s="337"/>
      <c r="F61" s="337"/>
      <c r="G61" s="337"/>
      <c r="H61" s="337"/>
      <c r="I61" s="337"/>
    </row>
    <row r="62" spans="1:14" s="2" customFormat="1">
      <c r="B62" s="39"/>
      <c r="C62" s="39"/>
      <c r="D62" s="42"/>
      <c r="E62" s="337"/>
      <c r="F62" s="337"/>
      <c r="G62" s="337"/>
      <c r="H62" s="337"/>
      <c r="I62" s="337"/>
    </row>
    <row r="63" spans="1:14" s="2" customFormat="1">
      <c r="B63" s="238" t="s">
        <v>256</v>
      </c>
      <c r="C63" s="238"/>
      <c r="D63" s="44"/>
      <c r="E63" s="891"/>
      <c r="F63" s="891"/>
      <c r="G63" s="891"/>
      <c r="H63" s="891"/>
      <c r="I63" s="891"/>
      <c r="J63" s="34"/>
    </row>
    <row r="64" spans="1:14" s="2" customFormat="1">
      <c r="A64"/>
      <c r="B64" s="52"/>
      <c r="C64" s="52"/>
      <c r="D64" s="42"/>
      <c r="E64" s="24"/>
      <c r="F64" s="24"/>
      <c r="G64" s="24"/>
      <c r="H64" s="24"/>
      <c r="I64" s="24"/>
      <c r="J64"/>
      <c r="K64"/>
      <c r="L64"/>
      <c r="M64"/>
      <c r="N64"/>
    </row>
    <row r="65" spans="1:14" s="2" customFormat="1">
      <c r="A65"/>
      <c r="B65" s="52"/>
      <c r="C65" s="52"/>
      <c r="D65" s="42"/>
      <c r="E65" s="896" t="str">
        <f>IF(E$6&lt;=Reporting_Year,"Actuals","N/A")</f>
        <v>Actuals</v>
      </c>
      <c r="F65" s="896" t="str">
        <f>IF(F$6&lt;=Reporting_Year,"Actuals","N/A")</f>
        <v>N/A</v>
      </c>
      <c r="G65" s="896" t="str">
        <f>IF(G$6&lt;=Reporting_Year,"Actuals","N/A")</f>
        <v>N/A</v>
      </c>
      <c r="H65" s="896" t="str">
        <f>IF(H$6&lt;=Reporting_Year,"Actuals","N/A")</f>
        <v>N/A</v>
      </c>
      <c r="I65" s="896" t="str">
        <f>IF(I$6&lt;=Reporting_Year,"Actuals","N/A")</f>
        <v>N/A</v>
      </c>
      <c r="J65"/>
      <c r="K65"/>
      <c r="L65"/>
      <c r="M65"/>
      <c r="N65"/>
    </row>
    <row r="66" spans="1:14" s="2" customFormat="1">
      <c r="A66"/>
      <c r="B66" s="52"/>
      <c r="C66" s="52"/>
      <c r="D66" s="42"/>
      <c r="E66" s="24"/>
      <c r="F66" s="24"/>
      <c r="G66" s="24"/>
      <c r="H66" s="24"/>
      <c r="I66" s="24"/>
      <c r="J66"/>
      <c r="K66"/>
      <c r="L66"/>
      <c r="M66"/>
      <c r="N66"/>
    </row>
    <row r="67" spans="1:14" s="2" customFormat="1">
      <c r="A67"/>
      <c r="B67" s="78" t="s">
        <v>257</v>
      </c>
      <c r="C67" s="52"/>
      <c r="D67" s="46" t="s">
        <v>230</v>
      </c>
      <c r="E67" s="897">
        <f>E58</f>
        <v>952.18136852999999</v>
      </c>
      <c r="F67" s="897">
        <f t="shared" ref="F67:I67" si="8">F58</f>
        <v>0</v>
      </c>
      <c r="G67" s="897">
        <f t="shared" si="8"/>
        <v>0</v>
      </c>
      <c r="H67" s="897">
        <f t="shared" si="8"/>
        <v>0</v>
      </c>
      <c r="I67" s="897">
        <f t="shared" si="8"/>
        <v>0</v>
      </c>
      <c r="J67"/>
      <c r="K67"/>
      <c r="L67"/>
      <c r="M67"/>
      <c r="N67"/>
    </row>
    <row r="68" spans="1:14" s="2" customFormat="1">
      <c r="A68"/>
      <c r="B68" s="2" t="s">
        <v>237</v>
      </c>
      <c r="C68" s="52"/>
      <c r="D68" s="46" t="s">
        <v>230</v>
      </c>
      <c r="E68" s="898">
        <f>E24</f>
        <v>938.06488810999997</v>
      </c>
      <c r="F68" s="898">
        <f t="shared" ref="F68:I68" si="9">F24</f>
        <v>0</v>
      </c>
      <c r="G68" s="898">
        <f t="shared" si="9"/>
        <v>0</v>
      </c>
      <c r="H68" s="898">
        <f t="shared" si="9"/>
        <v>0</v>
      </c>
      <c r="I68" s="898">
        <f t="shared" si="9"/>
        <v>0</v>
      </c>
      <c r="J68"/>
      <c r="K68"/>
      <c r="L68"/>
      <c r="M68"/>
      <c r="N68"/>
    </row>
    <row r="69" spans="1:14" s="2" customFormat="1">
      <c r="A69"/>
      <c r="B69" s="339"/>
      <c r="C69" s="52"/>
      <c r="D69" s="46"/>
      <c r="E69" s="899"/>
      <c r="F69" s="899"/>
      <c r="G69" s="899"/>
      <c r="H69" s="888"/>
      <c r="I69" s="888"/>
      <c r="J69"/>
      <c r="K69"/>
      <c r="L69"/>
      <c r="M69"/>
      <c r="N69"/>
    </row>
    <row r="70" spans="1:14">
      <c r="B70" s="542"/>
      <c r="E70" s="888"/>
      <c r="F70" s="888"/>
      <c r="G70" s="888"/>
      <c r="H70" s="888"/>
      <c r="I70" s="888"/>
    </row>
    <row r="71" spans="1:14">
      <c r="B71" s="78" t="s">
        <v>258</v>
      </c>
      <c r="D71" s="46" t="s">
        <v>230</v>
      </c>
      <c r="E71" s="897">
        <f>'R3 - Totex - Reconciliation'!D122-E83</f>
        <v>287.36828958999996</v>
      </c>
      <c r="F71" s="897">
        <f>'R3 - Totex - Reconciliation'!E122</f>
        <v>0</v>
      </c>
      <c r="G71" s="897">
        <f>'R3 - Totex - Reconciliation'!F122</f>
        <v>0</v>
      </c>
      <c r="H71" s="897">
        <f>'R3 - Totex - Reconciliation'!G122</f>
        <v>0</v>
      </c>
      <c r="I71" s="897">
        <f>'R3 - Totex - Reconciliation'!H122</f>
        <v>0</v>
      </c>
    </row>
    <row r="72" spans="1:14">
      <c r="B72" s="7" t="s">
        <v>259</v>
      </c>
      <c r="D72"/>
      <c r="E72" s="888"/>
      <c r="F72" s="888"/>
      <c r="G72" s="888"/>
      <c r="H72" s="888"/>
      <c r="I72" s="888"/>
    </row>
    <row r="73" spans="1:14" ht="8.15" customHeight="1">
      <c r="B73"/>
      <c r="D73"/>
      <c r="E73" s="888"/>
      <c r="F73" s="888"/>
      <c r="G73" s="888"/>
      <c r="H73" s="888"/>
      <c r="I73" s="888"/>
    </row>
    <row r="74" spans="1:14" ht="12.65" customHeight="1">
      <c r="B74" s="2" t="s">
        <v>260</v>
      </c>
      <c r="D74" s="46" t="s">
        <v>230</v>
      </c>
      <c r="E74" s="900">
        <f>'R3 - Totex - Reconciliation'!D141</f>
        <v>-192.92290215919195</v>
      </c>
      <c r="F74" s="900">
        <f>'R3 - Totex - Reconciliation'!E141</f>
        <v>0</v>
      </c>
      <c r="G74" s="900">
        <f>'R3 - Totex - Reconciliation'!F141</f>
        <v>0</v>
      </c>
      <c r="H74" s="900">
        <f>'R3 - Totex - Reconciliation'!G141</f>
        <v>0</v>
      </c>
      <c r="I74" s="900">
        <f>'R3 - Totex - Reconciliation'!H141</f>
        <v>0</v>
      </c>
    </row>
    <row r="75" spans="1:14">
      <c r="B75" t="s">
        <v>261</v>
      </c>
      <c r="D75" s="46" t="s">
        <v>230</v>
      </c>
      <c r="E75" s="829">
        <v>0</v>
      </c>
      <c r="F75" s="829"/>
      <c r="G75" s="829"/>
      <c r="H75" s="829"/>
      <c r="I75" s="829"/>
    </row>
    <row r="76" spans="1:14" ht="5.15" customHeight="1">
      <c r="B76"/>
      <c r="D76" s="52"/>
      <c r="E76" s="827"/>
      <c r="F76" s="827"/>
      <c r="G76" s="827"/>
      <c r="H76" s="827"/>
      <c r="I76" s="827"/>
      <c r="J76" s="52"/>
      <c r="L76" s="52"/>
      <c r="M76" s="52"/>
    </row>
    <row r="77" spans="1:14">
      <c r="B77" s="2" t="s">
        <v>262</v>
      </c>
      <c r="D77" s="46" t="s">
        <v>230</v>
      </c>
      <c r="E77" s="901">
        <f>'R3 - Totex - Reconciliation'!D122+'R3 - Totex - Reconciliation'!D141+E75</f>
        <v>261.73339108080802</v>
      </c>
      <c r="F77" s="901">
        <f>'R3 - Totex - Reconciliation'!E122+'R3 - Totex - Reconciliation'!E141+F75</f>
        <v>0</v>
      </c>
      <c r="G77" s="901">
        <f>'R3 - Totex - Reconciliation'!F122+'R3 - Totex - Reconciliation'!F141+G75</f>
        <v>0</v>
      </c>
      <c r="H77" s="901">
        <f>'R3 - Totex - Reconciliation'!G122+'R3 - Totex - Reconciliation'!G141+H75</f>
        <v>0</v>
      </c>
      <c r="I77" s="901">
        <f>'R3 - Totex - Reconciliation'!H122+'R3 - Totex - Reconciliation'!H141+I75</f>
        <v>0</v>
      </c>
    </row>
    <row r="78" spans="1:14">
      <c r="B78" s="7" t="s">
        <v>263</v>
      </c>
      <c r="D78" s="46" t="s">
        <v>230</v>
      </c>
      <c r="E78" s="820" t="str">
        <f>IF(ABS(E77-SUM(E71,E74,E83))&lt;=materiality_threshold,"ok","error")</f>
        <v>ok</v>
      </c>
      <c r="F78" s="486" t="str">
        <f>IF(ABS(F77-SUM(F71,F74))&lt;=materiality_threshold,"ok","error")</f>
        <v>ok</v>
      </c>
      <c r="G78" s="486" t="str">
        <f>IF(ABS(G77-SUM(G71,G74))&lt;=materiality_threshold,"ok","error")</f>
        <v>ok</v>
      </c>
      <c r="H78" s="486" t="str">
        <f>IF(ABS(H77-SUM(H71,H74))&lt;=materiality_threshold,"ok","error")</f>
        <v>ok</v>
      </c>
      <c r="I78" s="486" t="str">
        <f>IF(ABS(I77-SUM(I71,I74))&lt;=materiality_threshold,"ok","error")</f>
        <v>ok</v>
      </c>
    </row>
    <row r="79" spans="1:14">
      <c r="B79"/>
      <c r="D79" s="46"/>
      <c r="E79" s="821"/>
      <c r="F79" s="46"/>
      <c r="G79" s="46"/>
      <c r="H79" s="46"/>
      <c r="I79" s="46"/>
    </row>
    <row r="80" spans="1:14">
      <c r="B80" s="78" t="s">
        <v>264</v>
      </c>
      <c r="D80" s="46" t="s">
        <v>230</v>
      </c>
      <c r="E80" s="902">
        <f>E67-E71</f>
        <v>664.81307893999997</v>
      </c>
      <c r="F80" s="902">
        <f>F67-F71</f>
        <v>0</v>
      </c>
      <c r="G80" s="902">
        <f>G67-G71</f>
        <v>0</v>
      </c>
      <c r="H80" s="902">
        <f>H67-H71</f>
        <v>0</v>
      </c>
      <c r="I80" s="902">
        <f>I67-I71</f>
        <v>0</v>
      </c>
    </row>
    <row r="81" spans="2:12">
      <c r="B81" s="330" t="s">
        <v>265</v>
      </c>
      <c r="D81" s="46" t="s">
        <v>230</v>
      </c>
      <c r="E81" s="902">
        <f>E68-E77</f>
        <v>676.33149702919195</v>
      </c>
      <c r="F81" s="902">
        <f>F68-F77</f>
        <v>0</v>
      </c>
      <c r="G81" s="902">
        <f>G68-G77</f>
        <v>0</v>
      </c>
      <c r="H81" s="902">
        <f>H68-H77</f>
        <v>0</v>
      </c>
      <c r="I81" s="902">
        <f>I68-I77</f>
        <v>0</v>
      </c>
    </row>
    <row r="82" spans="2:12">
      <c r="E82" s="888"/>
      <c r="F82" s="888"/>
      <c r="G82" s="888"/>
      <c r="H82" s="888"/>
      <c r="I82" s="888"/>
    </row>
    <row r="83" spans="2:12">
      <c r="B83" s="78" t="s">
        <v>266</v>
      </c>
      <c r="D83" s="46" t="s">
        <v>230</v>
      </c>
      <c r="E83" s="829">
        <v>167.28800365000001</v>
      </c>
      <c r="F83" s="829"/>
      <c r="G83" s="829"/>
      <c r="H83" s="829"/>
      <c r="I83" s="829"/>
    </row>
    <row r="84" spans="2:12" ht="16" customHeight="1">
      <c r="B84" s="7" t="s">
        <v>259</v>
      </c>
      <c r="E84" s="888"/>
      <c r="F84" s="888"/>
      <c r="G84" s="888"/>
      <c r="H84" s="888"/>
      <c r="I84" s="888"/>
    </row>
    <row r="85" spans="2:12" ht="22" customHeight="1">
      <c r="B85" t="s">
        <v>267</v>
      </c>
      <c r="D85"/>
      <c r="E85" s="888"/>
      <c r="F85" s="888"/>
      <c r="G85" s="888"/>
      <c r="H85" s="888"/>
      <c r="I85" s="888"/>
    </row>
    <row r="86" spans="2:12">
      <c r="B86" s="39" t="s">
        <v>268</v>
      </c>
      <c r="D86" s="46" t="s">
        <v>230</v>
      </c>
      <c r="E86" s="903">
        <v>0</v>
      </c>
      <c r="F86" s="903"/>
      <c r="G86" s="903"/>
      <c r="H86" s="903"/>
      <c r="I86" s="903"/>
    </row>
    <row r="87" spans="2:12">
      <c r="B87" s="618" t="s">
        <v>269</v>
      </c>
      <c r="D87" s="46" t="s">
        <v>230</v>
      </c>
      <c r="E87" s="903">
        <v>0</v>
      </c>
      <c r="F87" s="829"/>
      <c r="G87" s="829"/>
      <c r="H87" s="829"/>
      <c r="I87" s="829"/>
    </row>
    <row r="88" spans="2:12">
      <c r="B88" s="39" t="s">
        <v>270</v>
      </c>
      <c r="D88" s="46" t="s">
        <v>230</v>
      </c>
      <c r="E88" s="904">
        <f>SUM(E86:E87)</f>
        <v>0</v>
      </c>
      <c r="F88" s="904">
        <f t="shared" ref="F88:I88" si="10">SUM(F86:F87)</f>
        <v>0</v>
      </c>
      <c r="G88" s="904">
        <f t="shared" si="10"/>
        <v>0</v>
      </c>
      <c r="H88" s="904">
        <f t="shared" si="10"/>
        <v>0</v>
      </c>
      <c r="I88" s="904">
        <f t="shared" si="10"/>
        <v>0</v>
      </c>
    </row>
    <row r="89" spans="2:12" ht="5.15" customHeight="1">
      <c r="B89" s="39"/>
      <c r="D89" s="46"/>
      <c r="E89" s="821"/>
      <c r="F89" s="821"/>
      <c r="G89" s="821"/>
      <c r="H89" s="821"/>
      <c r="I89" s="821"/>
      <c r="L89" s="46"/>
    </row>
    <row r="90" spans="2:12">
      <c r="B90" s="2" t="s">
        <v>271</v>
      </c>
      <c r="D90" s="46" t="s">
        <v>230</v>
      </c>
      <c r="E90" s="905">
        <f>E83-E88</f>
        <v>167.28800365000001</v>
      </c>
      <c r="F90" s="905">
        <f t="shared" ref="F90:I90" si="11">F83-F88</f>
        <v>0</v>
      </c>
      <c r="G90" s="905">
        <f t="shared" si="11"/>
        <v>0</v>
      </c>
      <c r="H90" s="905">
        <f t="shared" si="11"/>
        <v>0</v>
      </c>
      <c r="I90" s="905">
        <f t="shared" si="11"/>
        <v>0</v>
      </c>
    </row>
    <row r="91" spans="2:12">
      <c r="B91"/>
      <c r="C91"/>
      <c r="D91"/>
      <c r="E91" s="888"/>
      <c r="F91" s="888"/>
      <c r="G91" s="888"/>
      <c r="H91" s="888"/>
      <c r="I91" s="888"/>
    </row>
    <row r="92" spans="2:12">
      <c r="B92" s="683" t="s">
        <v>272</v>
      </c>
      <c r="C92" s="549"/>
      <c r="D92" s="550" t="s">
        <v>230</v>
      </c>
      <c r="E92" s="824">
        <f>E80-E83</f>
        <v>497.52507528999996</v>
      </c>
      <c r="F92" s="824">
        <f t="shared" ref="F92:I92" si="12">F80-F83</f>
        <v>0</v>
      </c>
      <c r="G92" s="824">
        <f t="shared" si="12"/>
        <v>0</v>
      </c>
      <c r="H92" s="824">
        <f t="shared" si="12"/>
        <v>0</v>
      </c>
      <c r="I92" s="824">
        <f t="shared" si="12"/>
        <v>0</v>
      </c>
    </row>
    <row r="93" spans="2:12">
      <c r="B93" s="545" t="s">
        <v>273</v>
      </c>
      <c r="D93" s="46" t="s">
        <v>230</v>
      </c>
      <c r="E93" s="905">
        <f>E81-E90</f>
        <v>509.04349337919194</v>
      </c>
      <c r="F93" s="905">
        <f t="shared" ref="F93:I93" si="13">F81-F90</f>
        <v>0</v>
      </c>
      <c r="G93" s="905">
        <f t="shared" si="13"/>
        <v>0</v>
      </c>
      <c r="H93" s="905">
        <f t="shared" si="13"/>
        <v>0</v>
      </c>
      <c r="I93" s="905">
        <f t="shared" si="13"/>
        <v>0</v>
      </c>
    </row>
    <row r="94" spans="2:12">
      <c r="B94" s="545"/>
      <c r="D94" s="46"/>
      <c r="E94" s="906"/>
      <c r="F94" s="906"/>
      <c r="G94" s="906"/>
      <c r="H94" s="906"/>
      <c r="I94" s="907"/>
    </row>
    <row r="95" spans="2:12">
      <c r="B95" s="546" t="s">
        <v>274</v>
      </c>
      <c r="D95" s="46" t="s">
        <v>230</v>
      </c>
      <c r="E95" s="843">
        <f>'R5 - Financing'!D9</f>
        <v>179.27155831999994</v>
      </c>
      <c r="F95" s="843">
        <f>'R5 - Financing'!E9</f>
        <v>287.97041367808555</v>
      </c>
      <c r="G95" s="843">
        <f>'R5 - Financing'!F9</f>
        <v>160.35076818166661</v>
      </c>
      <c r="H95" s="843">
        <f>'R5 - Financing'!G9</f>
        <v>109.19311208826498</v>
      </c>
      <c r="I95" s="843">
        <f>'R5 - Financing'!H9</f>
        <v>109.34684668781425</v>
      </c>
    </row>
    <row r="96" spans="2:12">
      <c r="B96" s="547" t="s">
        <v>275</v>
      </c>
      <c r="D96" s="46" t="s">
        <v>230</v>
      </c>
      <c r="E96" s="843">
        <f>'R5 - Financing'!D29</f>
        <v>284.05630286487576</v>
      </c>
      <c r="F96" s="843">
        <f>'R5 - Financing'!E29</f>
        <v>370.77391795327372</v>
      </c>
      <c r="G96" s="843">
        <f>'R5 - Financing'!F29</f>
        <v>240.75021426433511</v>
      </c>
      <c r="H96" s="843">
        <f>'R5 - Financing'!G29</f>
        <v>189.48630478923539</v>
      </c>
      <c r="I96" s="843">
        <f>'R5 - Financing'!H29</f>
        <v>189.77051998228387</v>
      </c>
    </row>
    <row r="97" spans="2:10">
      <c r="B97" s="543" t="s">
        <v>263</v>
      </c>
      <c r="D97" s="46" t="s">
        <v>230</v>
      </c>
      <c r="E97" s="905">
        <f>E95-E96</f>
        <v>-104.78474454487582</v>
      </c>
      <c r="F97" s="905">
        <f t="shared" ref="F97" si="14">F95-F96</f>
        <v>-82.803504275188175</v>
      </c>
      <c r="G97" s="905">
        <f t="shared" ref="G97" si="15">G95-G96</f>
        <v>-80.399446082668504</v>
      </c>
      <c r="H97" s="905">
        <f t="shared" ref="H97" si="16">H95-H96</f>
        <v>-80.293192700970408</v>
      </c>
      <c r="I97" s="905">
        <f t="shared" ref="I97" si="17">I95-I96</f>
        <v>-80.423673294469623</v>
      </c>
    </row>
    <row r="98" spans="2:10">
      <c r="B98" s="545"/>
      <c r="D98" s="46"/>
      <c r="E98" s="906"/>
      <c r="F98" s="908"/>
      <c r="G98" s="908"/>
      <c r="H98" s="908"/>
      <c r="I98" s="909"/>
    </row>
    <row r="99" spans="2:10">
      <c r="B99" s="546" t="s">
        <v>276</v>
      </c>
      <c r="D99" s="46" t="s">
        <v>230</v>
      </c>
      <c r="E99" s="829">
        <v>73.491231279008062</v>
      </c>
      <c r="F99" s="769"/>
      <c r="G99" s="769"/>
      <c r="H99" s="769"/>
      <c r="I99" s="769"/>
    </row>
    <row r="100" spans="2:10">
      <c r="B100" s="546" t="s">
        <v>277</v>
      </c>
      <c r="D100" s="46" t="s">
        <v>230</v>
      </c>
      <c r="E100" s="829">
        <v>-59.087298948712188</v>
      </c>
      <c r="F100" s="769"/>
      <c r="G100" s="769"/>
      <c r="H100" s="769"/>
      <c r="I100" s="769"/>
    </row>
    <row r="101" spans="2:10">
      <c r="B101" s="546" t="s">
        <v>278</v>
      </c>
      <c r="D101" s="46" t="s">
        <v>230</v>
      </c>
      <c r="E101" s="824">
        <f>SUM(E99:E100)</f>
        <v>14.403932330295873</v>
      </c>
      <c r="F101" s="824">
        <f t="shared" ref="F101:I101" si="18">SUM(F99:F100)</f>
        <v>0</v>
      </c>
      <c r="G101" s="824">
        <f t="shared" si="18"/>
        <v>0</v>
      </c>
      <c r="H101" s="824">
        <f t="shared" si="18"/>
        <v>0</v>
      </c>
      <c r="I101" s="824">
        <f t="shared" si="18"/>
        <v>0</v>
      </c>
    </row>
    <row r="102" spans="2:10">
      <c r="B102" s="547" t="s">
        <v>279</v>
      </c>
      <c r="D102" s="46" t="s">
        <v>230</v>
      </c>
      <c r="E102" s="843">
        <f>Adjusted_regulated_tax_liability</f>
        <v>33.803926551370424</v>
      </c>
      <c r="F102" s="843">
        <f>Adjusted_regulated_tax_liability</f>
        <v>13.733943700736045</v>
      </c>
      <c r="G102" s="843">
        <f>Adjusted_regulated_tax_liability</f>
        <v>102.18950051360419</v>
      </c>
      <c r="H102" s="843">
        <f>Adjusted_regulated_tax_liability</f>
        <v>92.115544214734484</v>
      </c>
      <c r="I102" s="843">
        <f>Adjusted_regulated_tax_liability</f>
        <v>92.609513395139572</v>
      </c>
    </row>
    <row r="103" spans="2:10">
      <c r="B103" s="543" t="s">
        <v>263</v>
      </c>
      <c r="D103" s="46" t="s">
        <v>230</v>
      </c>
      <c r="E103" s="905">
        <f>E101-E102</f>
        <v>-19.39999422107455</v>
      </c>
      <c r="F103" s="905">
        <f t="shared" ref="F103:I103" si="19">F101-F102</f>
        <v>-13.733943700736045</v>
      </c>
      <c r="G103" s="905">
        <f t="shared" si="19"/>
        <v>-102.18950051360419</v>
      </c>
      <c r="H103" s="905">
        <f t="shared" si="19"/>
        <v>-92.115544214734484</v>
      </c>
      <c r="I103" s="905">
        <f t="shared" si="19"/>
        <v>-92.609513395139572</v>
      </c>
      <c r="J103" s="7"/>
    </row>
    <row r="104" spans="2:10">
      <c r="B104" s="484"/>
      <c r="D104" s="46"/>
      <c r="E104" s="906"/>
      <c r="F104" s="908"/>
      <c r="G104" s="908"/>
      <c r="H104" s="908"/>
      <c r="I104" s="909"/>
    </row>
    <row r="105" spans="2:10">
      <c r="B105" s="485" t="s">
        <v>280</v>
      </c>
      <c r="D105" s="46" t="s">
        <v>230</v>
      </c>
      <c r="E105" s="824">
        <f>IFERROR(E92-E95-E99,0)</f>
        <v>244.76228569099197</v>
      </c>
      <c r="F105" s="824">
        <f t="shared" ref="F105:I105" si="20">IFERROR(F92-F95-F99,0)</f>
        <v>-287.97041367808555</v>
      </c>
      <c r="G105" s="824">
        <f t="shared" si="20"/>
        <v>-160.35076818166661</v>
      </c>
      <c r="H105" s="824">
        <f t="shared" si="20"/>
        <v>-109.19311208826498</v>
      </c>
      <c r="I105" s="824">
        <f t="shared" si="20"/>
        <v>-109.34684668781425</v>
      </c>
    </row>
    <row r="106" spans="2:10">
      <c r="B106" s="544" t="s">
        <v>281</v>
      </c>
      <c r="D106" s="46" t="s">
        <v>230</v>
      </c>
      <c r="E106" s="824">
        <f>IFERROR(E93-E96-E102,0)</f>
        <v>191.18326396294577</v>
      </c>
      <c r="F106" s="824">
        <f t="shared" ref="F106:I106" si="21">IFERROR(F93-F96-F102,0)</f>
        <v>-384.50786165400979</v>
      </c>
      <c r="G106" s="824">
        <f t="shared" si="21"/>
        <v>-342.93971477793929</v>
      </c>
      <c r="H106" s="824">
        <f t="shared" si="21"/>
        <v>-281.60184900396985</v>
      </c>
      <c r="I106" s="824">
        <f t="shared" si="21"/>
        <v>-282.38003337742344</v>
      </c>
    </row>
    <row r="107" spans="2:10">
      <c r="B107" s="543" t="s">
        <v>263</v>
      </c>
      <c r="D107" s="46" t="s">
        <v>230</v>
      </c>
      <c r="E107" s="905">
        <f>IFERROR(E105-E106,0)</f>
        <v>53.5790217280462</v>
      </c>
      <c r="F107" s="905">
        <f t="shared" ref="F107:I107" si="22">IFERROR(F105-F106,0)</f>
        <v>96.537447975924238</v>
      </c>
      <c r="G107" s="905">
        <f t="shared" si="22"/>
        <v>182.58894659627268</v>
      </c>
      <c r="H107" s="905">
        <f t="shared" si="22"/>
        <v>172.40873691570488</v>
      </c>
      <c r="I107" s="905">
        <f t="shared" si="22"/>
        <v>173.03318668960918</v>
      </c>
    </row>
    <row r="108" spans="2:10">
      <c r="B108" s="484"/>
      <c r="C108"/>
      <c r="D108"/>
      <c r="I108" s="910"/>
    </row>
    <row r="109" spans="2:10">
      <c r="B109" s="487"/>
      <c r="C109" s="488"/>
      <c r="D109" s="489"/>
      <c r="E109" s="490"/>
      <c r="F109" s="489"/>
      <c r="G109" s="489"/>
      <c r="H109" s="489"/>
      <c r="I109" s="491"/>
    </row>
    <row r="110" spans="2:10">
      <c r="B110"/>
      <c r="D110"/>
    </row>
    <row r="111" spans="2:10">
      <c r="B111"/>
      <c r="C111"/>
      <c r="D111"/>
    </row>
    <row r="112" spans="2:10">
      <c r="B112" s="340"/>
      <c r="D112"/>
    </row>
    <row r="113" spans="2:9">
      <c r="B113" s="6" t="s">
        <v>282</v>
      </c>
      <c r="C113"/>
      <c r="D113"/>
    </row>
    <row r="114" spans="2:9" ht="27" customHeight="1">
      <c r="B114" s="1037" t="s">
        <v>1391</v>
      </c>
      <c r="C114" s="1038"/>
      <c r="D114" s="1038"/>
      <c r="E114" s="1038"/>
      <c r="F114" s="1038"/>
      <c r="G114" s="1038"/>
      <c r="H114" s="1038"/>
      <c r="I114" s="1039"/>
    </row>
    <row r="115" spans="2:9">
      <c r="B115" s="1034" t="s">
        <v>1086</v>
      </c>
      <c r="C115" s="1035"/>
      <c r="D115" s="1035"/>
      <c r="E115" s="1035"/>
      <c r="F115" s="1035"/>
      <c r="G115" s="1035"/>
      <c r="H115" s="1035"/>
      <c r="I115" s="1036"/>
    </row>
    <row r="116" spans="2:9">
      <c r="B116" s="1034" t="s">
        <v>1087</v>
      </c>
      <c r="C116" s="1035"/>
      <c r="D116" s="1035"/>
      <c r="E116" s="1035"/>
      <c r="F116" s="1035"/>
      <c r="G116" s="1035"/>
      <c r="H116" s="1035"/>
      <c r="I116" s="1036"/>
    </row>
    <row r="117" spans="2:9">
      <c r="B117" s="1034"/>
      <c r="C117" s="1035"/>
      <c r="D117" s="1035"/>
      <c r="E117" s="1035"/>
      <c r="F117" s="1035"/>
      <c r="G117" s="1035"/>
      <c r="H117" s="1035"/>
      <c r="I117" s="1036"/>
    </row>
    <row r="118" spans="2:9">
      <c r="B118" s="1034"/>
      <c r="C118" s="1035"/>
      <c r="D118" s="1035"/>
      <c r="E118" s="1035"/>
      <c r="F118" s="1035"/>
      <c r="G118" s="1035"/>
      <c r="H118" s="1035"/>
      <c r="I118" s="1036"/>
    </row>
    <row r="119" spans="2:9">
      <c r="B119" s="350"/>
      <c r="C119" s="528"/>
      <c r="D119" s="529"/>
      <c r="E119" s="911"/>
      <c r="F119" s="911"/>
      <c r="G119" s="911"/>
      <c r="H119" s="911"/>
      <c r="I119" s="912"/>
    </row>
    <row r="121" spans="2:9" ht="13.5" customHeight="1"/>
    <row r="127" spans="2:9" ht="15" customHeight="1"/>
    <row r="141" ht="91.5" customHeight="1"/>
  </sheetData>
  <sheetProtection algorithmName="SHA-512" hashValue="cvzaITLmK3FtBunPU3TsNbD9ZATWU9mj5PJjgkdoYyudU+bFzCRxtY1VIZ0Ys0IOHJVLSqYPD6r43Jqaa7ufmw==" saltValue="hn6bPpFMjlUR3upSuvIWdA==" spinCount="100000" sheet="1" objects="1" scenarios="1"/>
  <mergeCells count="5">
    <mergeCell ref="B118:I118"/>
    <mergeCell ref="B114:I114"/>
    <mergeCell ref="B115:I115"/>
    <mergeCell ref="B116:I116"/>
    <mergeCell ref="B117:I117"/>
  </mergeCells>
  <conditionalFormatting sqref="C35">
    <cfRule type="expression" dxfId="95" priority="63">
      <formula>C$5="Forecast"</formula>
    </cfRule>
  </conditionalFormatting>
  <conditionalFormatting sqref="E65:H65">
    <cfRule type="expression" dxfId="94" priority="33">
      <formula>AND(E$5="Actuals",F$5="N/A")</formula>
    </cfRule>
  </conditionalFormatting>
  <conditionalFormatting sqref="I65">
    <cfRule type="expression" dxfId="93" priority="245">
      <formula>AND(I$5="Actuals",#REF!="N/A")</formula>
    </cfRule>
  </conditionalFormatting>
  <conditionalFormatting sqref="E7:I7">
    <cfRule type="expression" dxfId="92" priority="32">
      <formula>AND(E$5="Actuals",F$5="Forecast")</formula>
    </cfRule>
  </conditionalFormatting>
  <conditionalFormatting sqref="E6:H6">
    <cfRule type="expression" dxfId="91" priority="30">
      <formula>AND(E$5="Actuals",F$5="Forecast")</formula>
    </cfRule>
  </conditionalFormatting>
  <conditionalFormatting sqref="I6">
    <cfRule type="expression" dxfId="90" priority="31">
      <formula>AND(I$5="Actuals",#REF!="Forecast")</formula>
    </cfRule>
  </conditionalFormatting>
  <conditionalFormatting sqref="E65:I65">
    <cfRule type="expression" dxfId="89" priority="27">
      <formula>E$5="Forecast"</formula>
    </cfRule>
  </conditionalFormatting>
  <conditionalFormatting sqref="E59:I59">
    <cfRule type="expression" dxfId="88" priority="14">
      <formula>E$5="Forecast"</formula>
    </cfRule>
  </conditionalFormatting>
  <conditionalFormatting sqref="E27:I35">
    <cfRule type="expression" priority="13">
      <formula>$E6="Forecast"</formula>
    </cfRule>
  </conditionalFormatting>
  <conditionalFormatting sqref="E27:I35 E39:I54">
    <cfRule type="expression" priority="12">
      <formula>E$5="Forecast"</formula>
    </cfRule>
  </conditionalFormatting>
  <conditionalFormatting sqref="E20:I20 E57:I59 E24:I24 E13:I18 E27:I36 E39:I55">
    <cfRule type="expression" dxfId="87" priority="11">
      <formula>E$5="Forecast"</formula>
    </cfRule>
  </conditionalFormatting>
  <conditionalFormatting sqref="E24:I24">
    <cfRule type="expression" priority="10">
      <formula>$E3="Forecast"</formula>
    </cfRule>
  </conditionalFormatting>
  <conditionalFormatting sqref="E24:I24">
    <cfRule type="expression" priority="9">
      <formula>E$5="Forecast"</formula>
    </cfRule>
  </conditionalFormatting>
  <conditionalFormatting sqref="E24">
    <cfRule type="expression" priority="8">
      <formula>$E3="Forecast"</formula>
    </cfRule>
  </conditionalFormatting>
  <conditionalFormatting sqref="E24">
    <cfRule type="expression" priority="7">
      <formula>E$5="Forecast"</formula>
    </cfRule>
  </conditionalFormatting>
  <conditionalFormatting sqref="E86:I86 E71:I71 E67:I69 E87">
    <cfRule type="expression" dxfId="86" priority="6">
      <formula>D$12="N/A"</formula>
    </cfRule>
  </conditionalFormatting>
  <conditionalFormatting sqref="E83:I83 E71:I71 E67:I68 E105:I106 E90:I90 E92:I93 E95:I97 E74:I74 E78:I78 E86:I88 E99:I103">
    <cfRule type="expression" dxfId="85" priority="5">
      <formula>E$5="Forecast"</formula>
    </cfRule>
  </conditionalFormatting>
  <conditionalFormatting sqref="E107:I107">
    <cfRule type="expression" dxfId="84" priority="4">
      <formula>E$5="Forecast"</formula>
    </cfRule>
  </conditionalFormatting>
  <conditionalFormatting sqref="E77:I77">
    <cfRule type="expression" dxfId="83" priority="2">
      <formula>E$5="Forecast"</formula>
    </cfRule>
  </conditionalFormatting>
  <conditionalFormatting sqref="E77:I77">
    <cfRule type="expression" dxfId="82" priority="3">
      <formula>D$12="N/A"</formula>
    </cfRule>
  </conditionalFormatting>
  <conditionalFormatting sqref="E75:I75">
    <cfRule type="expression" dxfId="81" priority="1">
      <formula>E$5="Forecast"</formula>
    </cfRule>
  </conditionalFormatting>
  <pageMargins left="0.70866141732283472" right="0.70866141732283472" top="0.74803149606299213" bottom="0.74803149606299213" header="0.31496062992125984" footer="0.31496062992125984"/>
  <pageSetup paperSize="8" fitToHeight="2" orientation="landscape" r:id="rId1"/>
  <headerFooter>
    <oddFooter>&amp;C_x000D_&amp;1#&amp;"Calibri"&amp;10&amp;K000000 OFFICIAL-InternalOnly</oddFooter>
  </headerFooter>
  <customProperties>
    <customPr name="EpmWorksheetKeyString_GUID" r:id="rId2"/>
  </customProperties>
  <ignoredErrors>
    <ignoredError sqref="C14:C18" unlockedFormula="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CC"/>
    <pageSetUpPr fitToPage="1"/>
  </sheetPr>
  <dimension ref="A1:Q234"/>
  <sheetViews>
    <sheetView showGridLines="0" topLeftCell="C1" zoomScaleNormal="100" workbookViewId="0">
      <pane ySplit="7" topLeftCell="A8" activePane="bottomLeft" state="frozen"/>
      <selection activeCell="B1" sqref="B1"/>
      <selection pane="bottomLeft" activeCell="J14" activeCellId="1" sqref="J43 J14"/>
    </sheetView>
  </sheetViews>
  <sheetFormatPr defaultColWidth="9.15234375" defaultRowHeight="13.5"/>
  <cols>
    <col min="1" max="1" width="8.3828125" style="2" customWidth="1"/>
    <col min="2" max="2" width="64.4609375" style="39" customWidth="1"/>
    <col min="3" max="3" width="13.3828125" style="42" customWidth="1"/>
    <col min="4" max="8" width="11.15234375" style="2" customWidth="1"/>
    <col min="9" max="10" width="12.84375" style="2" customWidth="1"/>
    <col min="11" max="16384" width="9.15234375" style="2"/>
  </cols>
  <sheetData>
    <row r="1" spans="1:16" customFormat="1" ht="20">
      <c r="A1" s="677" t="s">
        <v>283</v>
      </c>
      <c r="B1" s="380"/>
      <c r="C1" s="386"/>
      <c r="D1" s="382"/>
      <c r="E1" s="382"/>
      <c r="F1" s="382"/>
      <c r="G1" s="382"/>
      <c r="H1" s="382"/>
      <c r="I1" s="383"/>
      <c r="J1" s="383"/>
      <c r="K1" s="684"/>
    </row>
    <row r="2" spans="1:16" customFormat="1" ht="20">
      <c r="A2" s="295" t="str">
        <f>Licensee</f>
        <v>NGGT (TO)</v>
      </c>
      <c r="B2" s="298"/>
      <c r="C2" s="41"/>
      <c r="D2" s="15"/>
      <c r="E2" s="15"/>
      <c r="F2" s="15"/>
      <c r="G2" s="15"/>
      <c r="H2" s="15"/>
      <c r="I2" s="14"/>
      <c r="J2" s="14"/>
      <c r="K2" s="38"/>
    </row>
    <row r="3" spans="1:16" customFormat="1" ht="20">
      <c r="A3" s="534">
        <f>Reporting_Year</f>
        <v>2022</v>
      </c>
      <c r="B3" s="526"/>
      <c r="C3" s="527"/>
      <c r="D3" s="524"/>
      <c r="E3" s="524"/>
      <c r="F3" s="524"/>
      <c r="G3" s="524"/>
      <c r="H3" s="524"/>
      <c r="I3" s="525"/>
      <c r="J3" s="525"/>
      <c r="K3" s="68"/>
    </row>
    <row r="4" spans="1:16" ht="12.75" customHeight="1"/>
    <row r="5" spans="1:16" ht="30" customHeight="1">
      <c r="D5" s="512" t="str">
        <f>IF(D6&lt;=Reporting_Year,"Actuals","Forecast")</f>
        <v>Actuals</v>
      </c>
      <c r="E5" s="512" t="str">
        <f t="shared" ref="E5:I5" si="0">IF(E6&lt;=Reporting_Year,"Actuals","Forecast")</f>
        <v>Forecast</v>
      </c>
      <c r="F5" s="512" t="str">
        <f t="shared" si="0"/>
        <v>Forecast</v>
      </c>
      <c r="G5" s="512" t="str">
        <f t="shared" si="0"/>
        <v>Forecast</v>
      </c>
      <c r="H5" s="512" t="str">
        <f t="shared" si="0"/>
        <v>Forecast</v>
      </c>
      <c r="I5" s="512" t="str">
        <f t="shared" si="0"/>
        <v>Forecast</v>
      </c>
    </row>
    <row r="6" spans="1:16" ht="27.75" customHeight="1">
      <c r="D6" s="401">
        <f>'RFPR cover'!$C$6</f>
        <v>2022</v>
      </c>
      <c r="E6" s="401">
        <f>D6+1</f>
        <v>2023</v>
      </c>
      <c r="F6" s="401">
        <f t="shared" ref="F6:H6" si="1">E6+1</f>
        <v>2024</v>
      </c>
      <c r="G6" s="401">
        <f t="shared" si="1"/>
        <v>2025</v>
      </c>
      <c r="H6" s="401">
        <f t="shared" si="1"/>
        <v>2026</v>
      </c>
      <c r="I6" s="696" t="str">
        <f>"Cumulative to "&amp;'RFPR cover'!$C$9</f>
        <v>Cumulative to 2022</v>
      </c>
      <c r="J6" s="696" t="s">
        <v>191</v>
      </c>
    </row>
    <row r="7" spans="1:16">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row>
    <row r="8" spans="1:16">
      <c r="B8" s="470" t="s">
        <v>284</v>
      </c>
      <c r="C8" s="76"/>
      <c r="D8" s="76"/>
      <c r="E8" s="76"/>
      <c r="F8" s="76"/>
      <c r="G8" s="76"/>
      <c r="H8" s="77"/>
      <c r="I8" s="77"/>
      <c r="J8" s="77"/>
      <c r="K8" s="39"/>
    </row>
    <row r="9" spans="1:16">
      <c r="B9" s="675" t="s">
        <v>947</v>
      </c>
      <c r="C9" s="676"/>
      <c r="D9" s="676"/>
      <c r="E9" s="676"/>
      <c r="F9" s="676"/>
      <c r="G9" s="676"/>
      <c r="H9" s="676"/>
      <c r="I9" s="676"/>
      <c r="J9" s="676"/>
      <c r="K9" s="39"/>
      <c r="L9" s="39"/>
    </row>
    <row r="11" spans="1:16">
      <c r="B11" s="352" t="s">
        <v>285</v>
      </c>
      <c r="C11" s="351"/>
      <c r="D11" s="34"/>
      <c r="E11" s="34"/>
      <c r="F11" s="34"/>
      <c r="G11" s="34"/>
      <c r="H11" s="34"/>
      <c r="I11" s="34"/>
      <c r="J11" s="34"/>
      <c r="K11" s="39"/>
    </row>
    <row r="12" spans="1:16">
      <c r="B12" s="204"/>
      <c r="D12" s="1"/>
      <c r="E12" s="1"/>
      <c r="F12" s="1"/>
      <c r="G12" s="1"/>
      <c r="H12" s="1"/>
      <c r="I12" s="1"/>
      <c r="J12" s="1"/>
      <c r="K12" s="39"/>
    </row>
    <row r="13" spans="1:16">
      <c r="B13" s="52" t="s">
        <v>286</v>
      </c>
      <c r="C13" s="31" t="str">
        <f>Data!$C$9</f>
        <v>£m 18/19</v>
      </c>
      <c r="D13" s="822">
        <v>274.18045668586859</v>
      </c>
      <c r="E13" s="822">
        <v>401.99888507241246</v>
      </c>
      <c r="F13" s="822">
        <v>456.30547315902658</v>
      </c>
      <c r="G13" s="822">
        <v>272.81891889963714</v>
      </c>
      <c r="H13" s="822">
        <v>267.88625980534584</v>
      </c>
      <c r="I13" s="823">
        <f>SUM(D13:INDEX(D13:H13,0,MATCH('RFPR cover'!$C$9,$D$6:$H$6,0)))</f>
        <v>274.18045668586859</v>
      </c>
      <c r="J13" s="823">
        <f>SUM(D13:H13)</f>
        <v>1673.1899936222906</v>
      </c>
      <c r="K13" s="39"/>
    </row>
    <row r="14" spans="1:16" ht="17.149999999999999" customHeight="1">
      <c r="B14" s="40" t="s">
        <v>287</v>
      </c>
      <c r="C14" s="31" t="str">
        <f>Data!$C$9</f>
        <v>£m 18/19</v>
      </c>
      <c r="D14" s="822">
        <v>302.08800965722509</v>
      </c>
      <c r="E14" s="822">
        <v>429.20770136703726</v>
      </c>
      <c r="F14" s="822">
        <v>435.76248458038003</v>
      </c>
      <c r="G14" s="822">
        <v>250.31516202476354</v>
      </c>
      <c r="H14" s="822">
        <v>235.57124559527111</v>
      </c>
      <c r="I14" s="823">
        <f>SUM(D14:INDEX(D14:H14,0,MATCH('RFPR cover'!$C$9,$D$6:$H$6,0)))</f>
        <v>302.08800965722509</v>
      </c>
      <c r="J14" s="823">
        <f>SUM(D14:H14)</f>
        <v>1652.9446032246772</v>
      </c>
      <c r="K14" s="29"/>
    </row>
    <row r="15" spans="1:16">
      <c r="B15" s="240" t="s">
        <v>288</v>
      </c>
      <c r="C15" s="31" t="str">
        <f>Data!$C$9</f>
        <v>£m 18/19</v>
      </c>
      <c r="D15" s="824">
        <f>D14-D13</f>
        <v>27.907552971356495</v>
      </c>
      <c r="E15" s="824">
        <f t="shared" ref="E15:J15" si="2">E14-E13</f>
        <v>27.208816294624796</v>
      </c>
      <c r="F15" s="824">
        <f t="shared" si="2"/>
        <v>-20.542988578646543</v>
      </c>
      <c r="G15" s="824">
        <f t="shared" si="2"/>
        <v>-22.503756874873602</v>
      </c>
      <c r="H15" s="824">
        <f t="shared" si="2"/>
        <v>-32.315014210074736</v>
      </c>
      <c r="I15" s="825">
        <f t="shared" si="2"/>
        <v>27.907552971356495</v>
      </c>
      <c r="J15" s="825">
        <f t="shared" si="2"/>
        <v>-20.245390397613392</v>
      </c>
      <c r="K15" s="987"/>
      <c r="L15" s="987"/>
      <c r="M15" s="987"/>
      <c r="N15"/>
      <c r="O15"/>
      <c r="P15"/>
    </row>
    <row r="16" spans="1:16">
      <c r="B16" s="240"/>
      <c r="C16" s="31"/>
      <c r="D16" s="31"/>
      <c r="E16" s="31"/>
      <c r="F16" s="31"/>
      <c r="G16" s="31"/>
      <c r="H16" s="31"/>
      <c r="I16" s="26"/>
      <c r="J16" s="26"/>
      <c r="K16" s="30"/>
      <c r="L16" s="30"/>
      <c r="M16" s="30"/>
      <c r="N16"/>
      <c r="O16"/>
      <c r="P16"/>
    </row>
    <row r="17" spans="2:16">
      <c r="B17" s="39" t="s">
        <v>289</v>
      </c>
      <c r="C17" s="42" t="s">
        <v>194</v>
      </c>
      <c r="D17" s="954">
        <f>INDEX(Data!$C$55:$C$83,MATCH('RFPR cover'!$C$7,Data!$B$55:$B$83,0),0)</f>
        <v>0.61</v>
      </c>
      <c r="E17" s="954">
        <f>INDEX(Data!$C$55:$C$83,MATCH('RFPR cover'!$C$7,Data!$B$55:$B$83,0),0)</f>
        <v>0.61</v>
      </c>
      <c r="F17" s="954">
        <f>INDEX(Data!$C$55:$C$83,MATCH('RFPR cover'!$C$7,Data!$B$55:$B$83,0),0)</f>
        <v>0.61</v>
      </c>
      <c r="G17" s="954">
        <f>INDEX(Data!$C$55:$C$83,MATCH('RFPR cover'!$C$7,Data!$B$55:$B$83,0),0)</f>
        <v>0.61</v>
      </c>
      <c r="H17" s="954">
        <f>INDEX(Data!$C$55:$C$83,MATCH('RFPR cover'!$C$7,Data!$B$55:$B$83,0),0)</f>
        <v>0.61</v>
      </c>
      <c r="I17" s="28"/>
      <c r="J17" s="28"/>
      <c r="K17"/>
      <c r="L17"/>
      <c r="M17"/>
      <c r="N17"/>
      <c r="O17"/>
      <c r="P17"/>
    </row>
    <row r="18" spans="2:16">
      <c r="D18" s="337"/>
      <c r="E18" s="337"/>
      <c r="F18" s="337"/>
      <c r="G18" s="337"/>
      <c r="H18" s="337"/>
      <c r="K18"/>
      <c r="L18"/>
      <c r="M18"/>
      <c r="N18"/>
      <c r="O18"/>
      <c r="P18"/>
    </row>
    <row r="19" spans="2:16">
      <c r="B19" s="39" t="s">
        <v>290</v>
      </c>
      <c r="C19" s="31" t="str">
        <f>Data!$C$9</f>
        <v>£m 18/19</v>
      </c>
      <c r="D19" s="824">
        <f>D15*D17</f>
        <v>17.02360731252746</v>
      </c>
      <c r="E19" s="824">
        <f t="shared" ref="E19:H19" si="3">E15*E17</f>
        <v>16.597377939721124</v>
      </c>
      <c r="F19" s="824">
        <f t="shared" si="3"/>
        <v>-12.531223032974392</v>
      </c>
      <c r="G19" s="824">
        <f t="shared" si="3"/>
        <v>-13.727291693672896</v>
      </c>
      <c r="H19" s="824">
        <f t="shared" si="3"/>
        <v>-19.712158668145587</v>
      </c>
      <c r="I19" s="817">
        <f>SUM(D19:INDEX(D19:H19,0,MATCH('RFPR cover'!$C$9,$D$6:$H$6,0)))</f>
        <v>17.02360731252746</v>
      </c>
      <c r="J19" s="817">
        <f>SUM(D19:H19)</f>
        <v>-12.349688142544288</v>
      </c>
      <c r="K19"/>
      <c r="L19"/>
      <c r="M19"/>
      <c r="N19"/>
      <c r="O19"/>
      <c r="P19"/>
    </row>
    <row r="20" spans="2:16">
      <c r="B20" s="39" t="s">
        <v>291</v>
      </c>
      <c r="C20" s="31" t="str">
        <f>Data!$C$9</f>
        <v>£m 18/19</v>
      </c>
      <c r="D20" s="824">
        <f>D15*(1-D17)</f>
        <v>10.883945658829033</v>
      </c>
      <c r="E20" s="824">
        <f t="shared" ref="E20:H20" si="4">E15*(1-E17)</f>
        <v>10.611438354903671</v>
      </c>
      <c r="F20" s="824">
        <f t="shared" si="4"/>
        <v>-8.0117655456721515</v>
      </c>
      <c r="G20" s="824">
        <f t="shared" si="4"/>
        <v>-8.776465181200706</v>
      </c>
      <c r="H20" s="824">
        <f t="shared" si="4"/>
        <v>-12.602855541929147</v>
      </c>
      <c r="I20" s="817">
        <f>SUM(D20:INDEX(D20:H20,0,MATCH('RFPR cover'!$C$9,$D$6:$H$6,0)))</f>
        <v>10.883945658829033</v>
      </c>
      <c r="J20" s="817">
        <f>SUM(D20:H20)</f>
        <v>-7.8957022550693008</v>
      </c>
      <c r="L20"/>
      <c r="M20"/>
      <c r="N20"/>
      <c r="O20"/>
      <c r="P20"/>
    </row>
    <row r="21" spans="2:16">
      <c r="C21" s="39"/>
      <c r="D21" s="827"/>
      <c r="E21" s="827"/>
      <c r="F21" s="827"/>
      <c r="G21" s="827"/>
      <c r="H21" s="827"/>
      <c r="I21" s="828"/>
      <c r="J21" s="828"/>
      <c r="L21"/>
      <c r="M21"/>
      <c r="N21"/>
      <c r="O21"/>
      <c r="P21"/>
    </row>
    <row r="22" spans="2:16">
      <c r="B22" s="204" t="s">
        <v>292</v>
      </c>
      <c r="D22" s="827"/>
      <c r="E22" s="827"/>
      <c r="F22" s="827"/>
      <c r="G22" s="827"/>
      <c r="H22" s="827"/>
      <c r="I22" s="818"/>
      <c r="J22" s="818"/>
      <c r="L22"/>
      <c r="M22"/>
    </row>
    <row r="23" spans="2:16">
      <c r="B23" s="359" t="s">
        <v>1129</v>
      </c>
      <c r="C23" s="31" t="str">
        <f>Data!$C$9</f>
        <v>£m 18/19</v>
      </c>
      <c r="D23" s="829">
        <v>25.805084745762713</v>
      </c>
      <c r="E23" s="829">
        <v>26.694915254237287</v>
      </c>
      <c r="F23" s="829">
        <v>0</v>
      </c>
      <c r="G23" s="829">
        <v>0</v>
      </c>
      <c r="H23" s="829">
        <v>0</v>
      </c>
      <c r="I23" s="817">
        <f>SUM(D23:INDEX(D23:H23,0,MATCH('RFPR cover'!$C$9,$D$6:$H$6,0)))</f>
        <v>25.805084745762713</v>
      </c>
      <c r="J23" s="817">
        <f>SUM(D23:H23)</f>
        <v>52.5</v>
      </c>
      <c r="L23"/>
      <c r="M23"/>
      <c r="N23"/>
      <c r="O23"/>
      <c r="P23"/>
    </row>
    <row r="24" spans="2:16">
      <c r="B24" s="803" t="s">
        <v>1130</v>
      </c>
      <c r="C24" s="31" t="str">
        <f>Data!$C$9</f>
        <v>£m 18/19</v>
      </c>
      <c r="D24" s="829">
        <v>-60.701975156633402</v>
      </c>
      <c r="E24" s="829">
        <v>-47.359812052555014</v>
      </c>
      <c r="F24" s="829">
        <v>39.352164087266097</v>
      </c>
      <c r="G24" s="829">
        <v>30.172733798383518</v>
      </c>
      <c r="H24" s="829">
        <v>38.536889323538837</v>
      </c>
      <c r="I24" s="817">
        <f>SUM(D24:INDEX(D24:H24,0,MATCH('RFPR cover'!$C$9,$D$6:$H$6,0)))</f>
        <v>-60.701975156633402</v>
      </c>
      <c r="J24" s="817">
        <f t="shared" ref="J24" si="5">SUM(D24:H24)</f>
        <v>0</v>
      </c>
      <c r="L24"/>
      <c r="M24"/>
      <c r="N24"/>
      <c r="O24"/>
      <c r="P24"/>
    </row>
    <row r="25" spans="2:16">
      <c r="B25" s="204" t="s">
        <v>295</v>
      </c>
      <c r="C25" s="31" t="str">
        <f>Data!$C$9</f>
        <v>£m 18/19</v>
      </c>
      <c r="D25" s="824">
        <f>SUM(D23:D24)</f>
        <v>-34.896890410870689</v>
      </c>
      <c r="E25" s="824">
        <f t="shared" ref="E25:H25" si="6">SUM(E23:E24)</f>
        <v>-20.664896798317727</v>
      </c>
      <c r="F25" s="824">
        <f t="shared" si="6"/>
        <v>39.352164087266097</v>
      </c>
      <c r="G25" s="824">
        <f t="shared" si="6"/>
        <v>30.172733798383518</v>
      </c>
      <c r="H25" s="824">
        <f t="shared" si="6"/>
        <v>38.536889323538837</v>
      </c>
      <c r="I25" s="817">
        <f>SUM(D25:INDEX(D25:H25,0,MATCH('RFPR cover'!$C$9,$D$6:$H$6,0)))</f>
        <v>-34.896890410870689</v>
      </c>
      <c r="J25" s="817">
        <f t="shared" ref="J25" si="7">SUM(D25:H25)</f>
        <v>52.500000000000036</v>
      </c>
      <c r="L25"/>
      <c r="M25"/>
      <c r="N25"/>
      <c r="O25"/>
      <c r="P25"/>
    </row>
    <row r="26" spans="2:16">
      <c r="B26" s="204"/>
      <c r="D26" s="827"/>
      <c r="E26" s="827"/>
      <c r="F26" s="827"/>
      <c r="G26" s="827"/>
      <c r="H26" s="827"/>
      <c r="I26" s="818"/>
      <c r="J26" s="818"/>
      <c r="L26"/>
      <c r="M26"/>
      <c r="N26"/>
      <c r="O26"/>
      <c r="P26"/>
    </row>
    <row r="27" spans="2:16">
      <c r="B27" s="204" t="s">
        <v>296</v>
      </c>
      <c r="D27" s="827"/>
      <c r="E27" s="827"/>
      <c r="F27" s="827"/>
      <c r="G27" s="827"/>
      <c r="H27" s="827"/>
      <c r="I27" s="818"/>
      <c r="J27" s="818"/>
      <c r="L27"/>
      <c r="M27"/>
      <c r="N27"/>
      <c r="O27"/>
      <c r="P27"/>
    </row>
    <row r="28" spans="2:16">
      <c r="B28" s="359" t="s">
        <v>293</v>
      </c>
      <c r="C28" s="31" t="str">
        <f>Data!$C$9</f>
        <v>£m 18/19</v>
      </c>
      <c r="D28" s="829">
        <v>0</v>
      </c>
      <c r="E28" s="829">
        <v>0</v>
      </c>
      <c r="F28" s="829">
        <v>0</v>
      </c>
      <c r="G28" s="829">
        <v>0</v>
      </c>
      <c r="H28" s="829">
        <v>0</v>
      </c>
      <c r="I28" s="817">
        <f>SUM(D28:INDEX(D28:H28,0,MATCH('RFPR cover'!$C$9,$D$6:$H$6,0)))</f>
        <v>0</v>
      </c>
      <c r="J28" s="817">
        <f>SUM(D28:H28)</f>
        <v>0</v>
      </c>
      <c r="L28"/>
      <c r="M28"/>
      <c r="N28"/>
      <c r="O28"/>
      <c r="P28"/>
    </row>
    <row r="29" spans="2:16">
      <c r="B29" s="359" t="s">
        <v>294</v>
      </c>
      <c r="C29" s="31" t="str">
        <f>Data!$C$9</f>
        <v>£m 18/19</v>
      </c>
      <c r="D29" s="829">
        <v>0</v>
      </c>
      <c r="E29" s="829">
        <v>0</v>
      </c>
      <c r="F29" s="829">
        <v>0</v>
      </c>
      <c r="G29" s="829">
        <v>0</v>
      </c>
      <c r="H29" s="829">
        <v>0</v>
      </c>
      <c r="I29" s="817">
        <f>SUM(D29:INDEX(D29:H29,0,MATCH('RFPR cover'!$C$9,$D$6:$H$6,0)))</f>
        <v>0</v>
      </c>
      <c r="J29" s="817">
        <f t="shared" ref="J29:J30" si="8">SUM(D29:H29)</f>
        <v>0</v>
      </c>
      <c r="L29"/>
      <c r="M29"/>
      <c r="N29"/>
      <c r="O29"/>
      <c r="P29"/>
    </row>
    <row r="30" spans="2:16">
      <c r="B30" s="204" t="s">
        <v>295</v>
      </c>
      <c r="C30" s="31" t="str">
        <f>Data!$C$9</f>
        <v>£m 18/19</v>
      </c>
      <c r="D30" s="824">
        <f>SUM(D28:D29)</f>
        <v>0</v>
      </c>
      <c r="E30" s="824">
        <f t="shared" ref="E30:H30" si="9">SUM(E28:E29)</f>
        <v>0</v>
      </c>
      <c r="F30" s="824">
        <f t="shared" si="9"/>
        <v>0</v>
      </c>
      <c r="G30" s="824">
        <f t="shared" si="9"/>
        <v>0</v>
      </c>
      <c r="H30" s="824">
        <f t="shared" si="9"/>
        <v>0</v>
      </c>
      <c r="I30" s="817">
        <f>SUM(D30:INDEX(D30:H30,0,MATCH('RFPR cover'!$C$9,$D$6:$H$6,0)))</f>
        <v>0</v>
      </c>
      <c r="J30" s="817">
        <f t="shared" si="8"/>
        <v>0</v>
      </c>
      <c r="L30"/>
      <c r="M30"/>
      <c r="N30"/>
      <c r="O30"/>
      <c r="P30"/>
    </row>
    <row r="31" spans="2:16">
      <c r="B31" s="204"/>
      <c r="D31" s="827"/>
      <c r="E31" s="827"/>
      <c r="F31" s="827"/>
      <c r="G31" s="827"/>
      <c r="H31" s="827"/>
      <c r="I31" s="818"/>
      <c r="J31" s="818"/>
      <c r="L31"/>
      <c r="M31"/>
      <c r="N31"/>
      <c r="O31"/>
      <c r="P31"/>
    </row>
    <row r="32" spans="2:16">
      <c r="B32" s="39" t="s">
        <v>297</v>
      </c>
      <c r="C32" s="31"/>
      <c r="D32" s="824">
        <f>D25*D17</f>
        <v>-21.287103150631118</v>
      </c>
      <c r="E32" s="824">
        <f t="shared" ref="E32:H32" si="10">E25*E17</f>
        <v>-12.605587046973813</v>
      </c>
      <c r="F32" s="824">
        <f t="shared" si="10"/>
        <v>24.004820093232318</v>
      </c>
      <c r="G32" s="824">
        <f t="shared" si="10"/>
        <v>18.405367617013948</v>
      </c>
      <c r="H32" s="824">
        <f t="shared" si="10"/>
        <v>23.507502487358689</v>
      </c>
      <c r="I32" s="817">
        <f>SUM(D32:INDEX(D32:H32,0,MATCH('RFPR cover'!$C$9,$D$6:$H$6,0)))</f>
        <v>-21.287103150631118</v>
      </c>
      <c r="J32" s="817">
        <f>SUM(D32:H32)</f>
        <v>32.02500000000002</v>
      </c>
      <c r="L32"/>
      <c r="M32"/>
      <c r="N32"/>
      <c r="O32"/>
      <c r="P32"/>
    </row>
    <row r="33" spans="2:16">
      <c r="B33" s="39" t="s">
        <v>298</v>
      </c>
      <c r="C33" s="31"/>
      <c r="D33" s="824">
        <f>D25*(1-D17)+D30</f>
        <v>-13.609787260239569</v>
      </c>
      <c r="E33" s="824">
        <f t="shared" ref="E33:H33" si="11">E25*(1-E17)+E30</f>
        <v>-8.059309751343914</v>
      </c>
      <c r="F33" s="824">
        <f t="shared" si="11"/>
        <v>15.347343994033778</v>
      </c>
      <c r="G33" s="824">
        <f t="shared" si="11"/>
        <v>11.767366181369573</v>
      </c>
      <c r="H33" s="824">
        <f t="shared" si="11"/>
        <v>15.029386836180146</v>
      </c>
      <c r="I33" s="817">
        <f>SUM(D33:INDEX(D33:H33,0,MATCH('RFPR cover'!$C$9,$D$6:$H$6,0)))</f>
        <v>-13.609787260239569</v>
      </c>
      <c r="J33" s="817">
        <f>SUM(D33:H33)</f>
        <v>20.475000000000016</v>
      </c>
      <c r="L33"/>
      <c r="M33"/>
      <c r="N33"/>
      <c r="O33"/>
      <c r="P33"/>
    </row>
    <row r="34" spans="2:16">
      <c r="B34" s="204"/>
      <c r="D34" s="827"/>
      <c r="E34" s="827"/>
      <c r="F34" s="827"/>
      <c r="G34" s="827"/>
      <c r="H34" s="827"/>
      <c r="I34" s="818"/>
      <c r="J34" s="818"/>
      <c r="L34"/>
      <c r="M34"/>
      <c r="N34"/>
      <c r="O34"/>
      <c r="P34"/>
    </row>
    <row r="35" spans="2:16">
      <c r="B35" s="204" t="s">
        <v>299</v>
      </c>
      <c r="D35" s="827"/>
      <c r="E35" s="827"/>
      <c r="F35" s="827"/>
      <c r="G35" s="827"/>
      <c r="H35" s="827"/>
      <c r="I35" s="818"/>
      <c r="J35" s="818"/>
      <c r="L35"/>
      <c r="M35"/>
      <c r="N35"/>
      <c r="O35"/>
      <c r="P35"/>
    </row>
    <row r="36" spans="2:16">
      <c r="B36" s="39" t="s">
        <v>290</v>
      </c>
      <c r="C36" s="31" t="str">
        <f>Data!$C$9</f>
        <v>£m 18/19</v>
      </c>
      <c r="D36" s="824">
        <f>D19+D32</f>
        <v>-4.2634958381036583</v>
      </c>
      <c r="E36" s="824">
        <f t="shared" ref="E36:H36" si="12">E19+E32</f>
        <v>3.9917908927473107</v>
      </c>
      <c r="F36" s="824">
        <f t="shared" si="12"/>
        <v>11.473597060257926</v>
      </c>
      <c r="G36" s="824">
        <f t="shared" si="12"/>
        <v>4.6780759233410514</v>
      </c>
      <c r="H36" s="824">
        <f t="shared" si="12"/>
        <v>3.7953438192131017</v>
      </c>
      <c r="I36" s="817">
        <f>SUM(D36:INDEX(D36:H36,0,MATCH('RFPR cover'!$C$9,$D$6:$H$6,0)))</f>
        <v>-4.2634958381036583</v>
      </c>
      <c r="J36" s="817">
        <f>SUM(D36:H36)</f>
        <v>19.675311857455732</v>
      </c>
      <c r="L36"/>
      <c r="M36"/>
      <c r="N36"/>
      <c r="O36"/>
      <c r="P36"/>
    </row>
    <row r="37" spans="2:16">
      <c r="B37" s="39" t="s">
        <v>291</v>
      </c>
      <c r="C37" s="31" t="str">
        <f>Data!$C$9</f>
        <v>£m 18/19</v>
      </c>
      <c r="D37" s="824">
        <f>D20+D33</f>
        <v>-2.7258416014105364</v>
      </c>
      <c r="E37" s="824">
        <f t="shared" ref="E37:H37" si="13">E20+E33</f>
        <v>2.5521286035597566</v>
      </c>
      <c r="F37" s="824">
        <f t="shared" si="13"/>
        <v>7.3355784483616269</v>
      </c>
      <c r="G37" s="824">
        <f t="shared" si="13"/>
        <v>2.9909010001688667</v>
      </c>
      <c r="H37" s="824">
        <f t="shared" si="13"/>
        <v>2.4265312942509993</v>
      </c>
      <c r="I37" s="817">
        <f>SUM(D37:INDEX(D37:H37,0,MATCH('RFPR cover'!$C$9,$D$6:$H$6,0)))</f>
        <v>-2.7258416014105364</v>
      </c>
      <c r="J37" s="817">
        <f t="shared" ref="J37" si="14">SUM(D37:H37)</f>
        <v>12.579297744930713</v>
      </c>
      <c r="L37"/>
      <c r="M37"/>
      <c r="N37"/>
      <c r="O37"/>
      <c r="P37"/>
    </row>
    <row r="38" spans="2:16">
      <c r="B38" s="204" t="s">
        <v>300</v>
      </c>
      <c r="C38" s="48" t="str">
        <f>Data!$C$9</f>
        <v>£m 18/19</v>
      </c>
      <c r="D38" s="824">
        <f>SUM(D36:D37)</f>
        <v>-6.9893374395141947</v>
      </c>
      <c r="E38" s="824">
        <f t="shared" ref="E38:H38" si="15">SUM(E36:E37)</f>
        <v>6.5439194963070673</v>
      </c>
      <c r="F38" s="824">
        <f t="shared" si="15"/>
        <v>18.809175508619553</v>
      </c>
      <c r="G38" s="824">
        <f t="shared" si="15"/>
        <v>7.6689769235099181</v>
      </c>
      <c r="H38" s="824">
        <f t="shared" si="15"/>
        <v>6.221875113464101</v>
      </c>
      <c r="I38" s="817">
        <f>SUM(D38:INDEX(D38:H38,0,MATCH('RFPR cover'!$C$9,$D$6:$H$6,0)))</f>
        <v>-6.9893374395141947</v>
      </c>
      <c r="J38" s="817">
        <f t="shared" ref="J38" si="16">SUM(D38:H38)</f>
        <v>32.254609602386445</v>
      </c>
      <c r="L38"/>
      <c r="M38"/>
      <c r="N38"/>
      <c r="O38"/>
      <c r="P38"/>
    </row>
    <row r="39" spans="2:16">
      <c r="B39" s="204"/>
      <c r="D39" s="827"/>
      <c r="E39" s="827"/>
      <c r="F39" s="827"/>
      <c r="G39" s="827"/>
      <c r="H39" s="827"/>
      <c r="I39" s="818"/>
      <c r="J39" s="818"/>
      <c r="L39"/>
      <c r="M39"/>
      <c r="N39"/>
      <c r="O39"/>
      <c r="P39"/>
    </row>
    <row r="40" spans="2:16">
      <c r="B40" s="352" t="s">
        <v>301</v>
      </c>
      <c r="C40" s="44"/>
      <c r="D40" s="830"/>
      <c r="E40" s="830"/>
      <c r="F40" s="830"/>
      <c r="G40" s="830"/>
      <c r="H40" s="830"/>
      <c r="I40" s="831"/>
      <c r="J40" s="831"/>
    </row>
    <row r="41" spans="2:16">
      <c r="D41" s="819"/>
      <c r="E41" s="819"/>
      <c r="F41" s="819"/>
      <c r="G41" s="819"/>
      <c r="H41" s="819"/>
      <c r="I41" s="832"/>
      <c r="J41" s="832"/>
    </row>
    <row r="42" spans="2:16">
      <c r="B42" s="52" t="s">
        <v>286</v>
      </c>
      <c r="C42" s="31" t="str">
        <f>Data!$C$9</f>
        <v>£m 18/19</v>
      </c>
      <c r="D42" s="822">
        <v>18.817489626412844</v>
      </c>
      <c r="E42" s="822">
        <v>12.316000000000001</v>
      </c>
      <c r="F42" s="822">
        <v>12.1</v>
      </c>
      <c r="G42" s="822">
        <v>41.2</v>
      </c>
      <c r="H42" s="822">
        <v>0.10000000000000009</v>
      </c>
      <c r="I42" s="833">
        <f>SUM(D42:INDEX(D42:H42,0,MATCH('RFPR cover'!$C$9,$D$6:$H$6,0)))</f>
        <v>18.817489626412844</v>
      </c>
      <c r="J42" s="833">
        <f>SUM(D42:H42)</f>
        <v>84.533489626412845</v>
      </c>
      <c r="K42" s="29"/>
    </row>
    <row r="43" spans="2:16" ht="15" customHeight="1">
      <c r="B43" s="40" t="s">
        <v>302</v>
      </c>
      <c r="C43" s="31" t="str">
        <f>Data!$C$9</f>
        <v>£m 18/19</v>
      </c>
      <c r="D43" s="822">
        <v>2.3838799981185499</v>
      </c>
      <c r="E43" s="822">
        <v>12.316120001881451</v>
      </c>
      <c r="F43" s="822">
        <v>12.1</v>
      </c>
      <c r="G43" s="822">
        <v>41.2</v>
      </c>
      <c r="H43" s="822">
        <v>0.1</v>
      </c>
      <c r="I43" s="833">
        <f>SUM(D43:INDEX(D43:H43,0,MATCH('RFPR cover'!$C$9,$D$6:$H$6,0)))</f>
        <v>2.3838799981185499</v>
      </c>
      <c r="J43" s="833">
        <f>SUM(D43:H43)</f>
        <v>68.099999999999994</v>
      </c>
      <c r="K43" s="29"/>
    </row>
    <row r="44" spans="2:16">
      <c r="B44" s="240" t="s">
        <v>288</v>
      </c>
      <c r="C44" s="31" t="str">
        <f>Data!$C$9</f>
        <v>£m 18/19</v>
      </c>
      <c r="D44" s="824">
        <f>D43-D42</f>
        <v>-16.433609628294292</v>
      </c>
      <c r="E44" s="824">
        <f t="shared" ref="E44:J44" si="17">E43-E42</f>
        <v>1.2000188145044888E-4</v>
      </c>
      <c r="F44" s="824">
        <f t="shared" si="17"/>
        <v>0</v>
      </c>
      <c r="G44" s="824">
        <f t="shared" si="17"/>
        <v>0</v>
      </c>
      <c r="H44" s="824">
        <f t="shared" si="17"/>
        <v>0</v>
      </c>
      <c r="I44" s="817">
        <f t="shared" si="17"/>
        <v>-16.433609628294292</v>
      </c>
      <c r="J44" s="817">
        <f t="shared" si="17"/>
        <v>-16.43348962641285</v>
      </c>
      <c r="K44" s="54"/>
      <c r="L44" s="54"/>
      <c r="M44" s="54"/>
      <c r="N44"/>
      <c r="O44"/>
      <c r="P44"/>
    </row>
    <row r="45" spans="2:16">
      <c r="B45" s="240"/>
      <c r="C45" s="31"/>
      <c r="D45" s="31"/>
      <c r="E45" s="31"/>
      <c r="F45" s="31"/>
      <c r="G45" s="31"/>
      <c r="H45" s="31"/>
      <c r="I45" s="26"/>
      <c r="J45" s="26"/>
      <c r="K45" s="30"/>
      <c r="L45" s="30"/>
      <c r="M45" s="30"/>
      <c r="N45"/>
      <c r="O45"/>
      <c r="P45"/>
    </row>
    <row r="46" spans="2:16">
      <c r="B46" s="39" t="s">
        <v>289</v>
      </c>
      <c r="C46" s="42" t="s">
        <v>194</v>
      </c>
      <c r="D46" s="954">
        <f>INDEX(Data!$C$55:$C$83,MATCH('RFPR cover'!$C$7,Data!$B$55:$B$83,0),0)</f>
        <v>0.61</v>
      </c>
      <c r="E46" s="954">
        <f>INDEX(Data!$C$55:$C$83,MATCH('RFPR cover'!$C$7,Data!$B$55:$B$83,0),0)</f>
        <v>0.61</v>
      </c>
      <c r="F46" s="954">
        <f>INDEX(Data!$C$55:$C$83,MATCH('RFPR cover'!$C$7,Data!$B$55:$B$83,0),0)</f>
        <v>0.61</v>
      </c>
      <c r="G46" s="954">
        <f>INDEX(Data!$C$55:$C$83,MATCH('RFPR cover'!$C$7,Data!$B$55:$B$83,0),0)</f>
        <v>0.61</v>
      </c>
      <c r="H46" s="954">
        <f>INDEX(Data!$C$55:$C$83,MATCH('RFPR cover'!$C$7,Data!$B$55:$B$83,0),0)</f>
        <v>0.61</v>
      </c>
      <c r="I46" s="28"/>
      <c r="J46" s="28"/>
      <c r="K46"/>
      <c r="L46"/>
      <c r="M46"/>
      <c r="N46"/>
      <c r="O46"/>
      <c r="P46"/>
    </row>
    <row r="47" spans="2:16">
      <c r="D47" s="337"/>
      <c r="E47" s="337"/>
      <c r="F47" s="337"/>
      <c r="G47" s="337"/>
      <c r="H47" s="337"/>
      <c r="K47"/>
      <c r="L47"/>
      <c r="M47"/>
      <c r="N47"/>
      <c r="O47"/>
      <c r="P47"/>
    </row>
    <row r="48" spans="2:16">
      <c r="B48" s="39" t="s">
        <v>290</v>
      </c>
      <c r="C48" s="31" t="str">
        <f>Data!$C$9</f>
        <v>£m 18/19</v>
      </c>
      <c r="D48" s="824">
        <f>D44*D46</f>
        <v>-10.024501873259517</v>
      </c>
      <c r="E48" s="824">
        <f t="shared" ref="E48:H48" si="18">E44*E46</f>
        <v>7.3201147684773813E-5</v>
      </c>
      <c r="F48" s="824">
        <f t="shared" si="18"/>
        <v>0</v>
      </c>
      <c r="G48" s="824">
        <f t="shared" si="18"/>
        <v>0</v>
      </c>
      <c r="H48" s="824">
        <f t="shared" si="18"/>
        <v>0</v>
      </c>
      <c r="I48" s="817">
        <f>SUM(D48:INDEX(D48:H48,0,MATCH('RFPR cover'!$C$9,$D$6:$H$6,0)))</f>
        <v>-10.024501873259517</v>
      </c>
      <c r="J48" s="817">
        <f>SUM(D48:H48)</f>
        <v>-10.024428672111831</v>
      </c>
      <c r="K48"/>
      <c r="L48"/>
      <c r="M48"/>
      <c r="N48"/>
      <c r="O48"/>
      <c r="P48"/>
    </row>
    <row r="49" spans="2:16">
      <c r="B49" s="39" t="s">
        <v>291</v>
      </c>
      <c r="C49" s="31" t="str">
        <f>Data!$C$9</f>
        <v>£m 18/19</v>
      </c>
      <c r="D49" s="824">
        <f>D44*(1-D46)</f>
        <v>-6.4091077550347739</v>
      </c>
      <c r="E49" s="824">
        <f t="shared" ref="E49:H49" si="19">E44*(1-E46)</f>
        <v>4.6800733765675064E-5</v>
      </c>
      <c r="F49" s="824">
        <f t="shared" si="19"/>
        <v>0</v>
      </c>
      <c r="G49" s="824">
        <f t="shared" si="19"/>
        <v>0</v>
      </c>
      <c r="H49" s="824">
        <f t="shared" si="19"/>
        <v>0</v>
      </c>
      <c r="I49" s="817">
        <f>SUM(D49:INDEX(D49:H49,0,MATCH('RFPR cover'!$C$9,$D$6:$H$6,0)))</f>
        <v>-6.4091077550347739</v>
      </c>
      <c r="J49" s="817">
        <f>SUM(D49:H49)</f>
        <v>-6.4090609543010082</v>
      </c>
      <c r="K49"/>
      <c r="L49"/>
      <c r="M49"/>
      <c r="N49"/>
      <c r="O49"/>
      <c r="P49"/>
    </row>
    <row r="50" spans="2:16">
      <c r="D50" s="827"/>
      <c r="E50" s="827"/>
      <c r="F50" s="827"/>
      <c r="G50" s="827"/>
      <c r="H50" s="827"/>
      <c r="I50" s="818"/>
      <c r="J50" s="818"/>
      <c r="K50"/>
      <c r="L50"/>
      <c r="M50"/>
      <c r="N50"/>
      <c r="O50"/>
      <c r="P50"/>
    </row>
    <row r="51" spans="2:16">
      <c r="B51" s="204" t="s">
        <v>292</v>
      </c>
      <c r="D51" s="827"/>
      <c r="E51" s="827"/>
      <c r="F51" s="827"/>
      <c r="G51" s="827"/>
      <c r="H51" s="827"/>
      <c r="I51" s="818"/>
      <c r="J51" s="818"/>
      <c r="K51"/>
      <c r="L51"/>
      <c r="M51"/>
      <c r="N51"/>
      <c r="O51"/>
      <c r="P51"/>
    </row>
    <row r="52" spans="2:16">
      <c r="B52" s="359" t="s">
        <v>293</v>
      </c>
      <c r="C52" s="31" t="str">
        <f>Data!$C$9</f>
        <v>£m 18/19</v>
      </c>
      <c r="D52" s="829">
        <v>0</v>
      </c>
      <c r="E52" s="829">
        <v>0</v>
      </c>
      <c r="F52" s="829">
        <v>0</v>
      </c>
      <c r="G52" s="829">
        <v>0</v>
      </c>
      <c r="H52" s="829">
        <v>0</v>
      </c>
      <c r="I52" s="817">
        <f>SUM(D52:INDEX(D52:H52,0,MATCH('RFPR cover'!$C$9,$D$6:$H$6,0)))</f>
        <v>0</v>
      </c>
      <c r="J52" s="817">
        <f>SUM(D52:H52)</f>
        <v>0</v>
      </c>
      <c r="K52"/>
      <c r="L52"/>
      <c r="M52"/>
      <c r="N52"/>
      <c r="O52"/>
      <c r="P52"/>
    </row>
    <row r="53" spans="2:16">
      <c r="B53" s="359" t="s">
        <v>294</v>
      </c>
      <c r="C53" s="31" t="str">
        <f>Data!$C$9</f>
        <v>£m 18/19</v>
      </c>
      <c r="D53" s="829">
        <v>0</v>
      </c>
      <c r="E53" s="829">
        <v>0</v>
      </c>
      <c r="F53" s="829">
        <v>0</v>
      </c>
      <c r="G53" s="829">
        <v>0</v>
      </c>
      <c r="H53" s="829">
        <v>0</v>
      </c>
      <c r="I53" s="817">
        <f>SUM(D53:INDEX(D53:H53,0,MATCH('RFPR cover'!$C$9,$D$6:$H$6,0)))</f>
        <v>0</v>
      </c>
      <c r="J53" s="817">
        <f t="shared" ref="J53:J54" si="20">SUM(D53:H53)</f>
        <v>0</v>
      </c>
      <c r="K53"/>
      <c r="L53"/>
      <c r="M53"/>
      <c r="N53"/>
      <c r="O53"/>
      <c r="P53"/>
    </row>
    <row r="54" spans="2:16">
      <c r="B54" s="204" t="s">
        <v>295</v>
      </c>
      <c r="C54" s="31" t="str">
        <f>Data!$C$9</f>
        <v>£m 18/19</v>
      </c>
      <c r="D54" s="824">
        <f>SUM(D52:D53)</f>
        <v>0</v>
      </c>
      <c r="E54" s="824">
        <f t="shared" ref="E54" si="21">SUM(E52:E53)</f>
        <v>0</v>
      </c>
      <c r="F54" s="824">
        <f t="shared" ref="F54" si="22">SUM(F52:F53)</f>
        <v>0</v>
      </c>
      <c r="G54" s="824">
        <f t="shared" ref="G54" si="23">SUM(G52:G53)</f>
        <v>0</v>
      </c>
      <c r="H54" s="824">
        <f t="shared" ref="H54" si="24">SUM(H52:H53)</f>
        <v>0</v>
      </c>
      <c r="I54" s="817">
        <f>SUM(D54:INDEX(D54:H54,0,MATCH('RFPR cover'!$C$9,$D$6:$H$6,0)))</f>
        <v>0</v>
      </c>
      <c r="J54" s="817">
        <f t="shared" si="20"/>
        <v>0</v>
      </c>
      <c r="K54" s="204"/>
      <c r="L54" s="204"/>
      <c r="M54" s="204"/>
      <c r="N54" s="204"/>
      <c r="O54"/>
      <c r="P54"/>
    </row>
    <row r="55" spans="2:16">
      <c r="B55" s="204"/>
      <c r="C55" s="204"/>
      <c r="D55" s="834"/>
      <c r="E55" s="834"/>
      <c r="F55" s="834"/>
      <c r="G55" s="834"/>
      <c r="H55" s="834"/>
      <c r="I55" s="835"/>
      <c r="J55" s="835"/>
      <c r="K55" s="204"/>
      <c r="L55" s="204"/>
      <c r="M55" s="204"/>
      <c r="N55" s="204"/>
      <c r="O55"/>
      <c r="P55"/>
    </row>
    <row r="56" spans="2:16">
      <c r="B56" s="204" t="s">
        <v>296</v>
      </c>
      <c r="D56" s="827"/>
      <c r="E56" s="827"/>
      <c r="F56" s="827"/>
      <c r="G56" s="827"/>
      <c r="H56" s="827"/>
      <c r="I56" s="818"/>
      <c r="J56" s="818"/>
      <c r="K56" s="204"/>
      <c r="L56" s="204"/>
      <c r="M56" s="204"/>
      <c r="N56" s="204"/>
      <c r="O56"/>
      <c r="P56"/>
    </row>
    <row r="57" spans="2:16">
      <c r="B57" s="359" t="s">
        <v>293</v>
      </c>
      <c r="C57" s="31" t="str">
        <f>Data!$C$9</f>
        <v>£m 18/19</v>
      </c>
      <c r="D57" s="829">
        <v>0</v>
      </c>
      <c r="E57" s="829">
        <v>0</v>
      </c>
      <c r="F57" s="829">
        <v>0</v>
      </c>
      <c r="G57" s="829">
        <v>0</v>
      </c>
      <c r="H57" s="829">
        <v>0</v>
      </c>
      <c r="I57" s="817">
        <f>SUM(D57:INDEX(D57:H57,0,MATCH('RFPR cover'!$C$9,$D$6:$H$6,0)))</f>
        <v>0</v>
      </c>
      <c r="J57" s="817">
        <f>SUM(D57:H57)</f>
        <v>0</v>
      </c>
      <c r="K57" s="204"/>
      <c r="L57" s="204"/>
      <c r="M57" s="204"/>
      <c r="N57" s="204"/>
      <c r="O57"/>
      <c r="P57"/>
    </row>
    <row r="58" spans="2:16">
      <c r="B58" s="359" t="s">
        <v>294</v>
      </c>
      <c r="C58" s="31" t="str">
        <f>Data!$C$9</f>
        <v>£m 18/19</v>
      </c>
      <c r="D58" s="829">
        <v>0</v>
      </c>
      <c r="E58" s="829">
        <v>0</v>
      </c>
      <c r="F58" s="829">
        <v>0</v>
      </c>
      <c r="G58" s="829">
        <v>0</v>
      </c>
      <c r="H58" s="829">
        <v>0</v>
      </c>
      <c r="I58" s="817">
        <f>SUM(D58:INDEX(D58:H58,0,MATCH('RFPR cover'!$C$9,$D$6:$H$6,0)))</f>
        <v>0</v>
      </c>
      <c r="J58" s="817">
        <f t="shared" ref="J58:J59" si="25">SUM(D58:H58)</f>
        <v>0</v>
      </c>
      <c r="K58" s="204"/>
      <c r="L58" s="204"/>
      <c r="M58" s="204"/>
      <c r="N58" s="204"/>
      <c r="O58"/>
      <c r="P58"/>
    </row>
    <row r="59" spans="2:16">
      <c r="B59" s="204" t="s">
        <v>295</v>
      </c>
      <c r="C59" s="31" t="str">
        <f>Data!$C$9</f>
        <v>£m 18/19</v>
      </c>
      <c r="D59" s="824">
        <f>SUM(D57:D58)</f>
        <v>0</v>
      </c>
      <c r="E59" s="824">
        <f t="shared" ref="E59:H59" si="26">SUM(E57:E58)</f>
        <v>0</v>
      </c>
      <c r="F59" s="824">
        <f t="shared" si="26"/>
        <v>0</v>
      </c>
      <c r="G59" s="824">
        <f t="shared" si="26"/>
        <v>0</v>
      </c>
      <c r="H59" s="824">
        <f t="shared" si="26"/>
        <v>0</v>
      </c>
      <c r="I59" s="817">
        <f>SUM(D59:INDEX(D59:H59,0,MATCH('RFPR cover'!$C$9,$D$6:$H$6,0)))</f>
        <v>0</v>
      </c>
      <c r="J59" s="817">
        <f t="shared" si="25"/>
        <v>0</v>
      </c>
      <c r="K59" s="204"/>
      <c r="L59" s="204"/>
      <c r="M59" s="204"/>
      <c r="N59" s="204"/>
      <c r="O59"/>
      <c r="P59"/>
    </row>
    <row r="60" spans="2:16">
      <c r="B60" s="204"/>
      <c r="C60" s="204"/>
      <c r="D60" s="834"/>
      <c r="E60" s="834"/>
      <c r="F60" s="834"/>
      <c r="G60" s="834"/>
      <c r="H60" s="834"/>
      <c r="I60" s="835"/>
      <c r="J60" s="835"/>
      <c r="K60" s="204"/>
      <c r="L60" s="204"/>
      <c r="M60" s="204"/>
      <c r="N60" s="204"/>
      <c r="O60"/>
      <c r="P60"/>
    </row>
    <row r="61" spans="2:16">
      <c r="B61" s="39" t="s">
        <v>297</v>
      </c>
      <c r="C61" s="31"/>
      <c r="D61" s="824">
        <f>D54*D46</f>
        <v>0</v>
      </c>
      <c r="E61" s="824">
        <f t="shared" ref="E61:H61" si="27">E54*E46</f>
        <v>0</v>
      </c>
      <c r="F61" s="824">
        <f t="shared" si="27"/>
        <v>0</v>
      </c>
      <c r="G61" s="824">
        <f t="shared" si="27"/>
        <v>0</v>
      </c>
      <c r="H61" s="824">
        <f t="shared" si="27"/>
        <v>0</v>
      </c>
      <c r="I61" s="817">
        <f>SUM(D61:INDEX(D61:H61,0,MATCH('RFPR cover'!$C$9,$D$6:$H$6,0)))</f>
        <v>0</v>
      </c>
      <c r="J61" s="817">
        <f>SUM(D61:H61)</f>
        <v>0</v>
      </c>
      <c r="K61" s="204"/>
      <c r="L61" s="204"/>
      <c r="M61" s="204"/>
      <c r="N61" s="204"/>
      <c r="O61"/>
      <c r="P61"/>
    </row>
    <row r="62" spans="2:16">
      <c r="B62" s="39" t="s">
        <v>298</v>
      </c>
      <c r="C62" s="31"/>
      <c r="D62" s="824">
        <f>D54*(1-D46)+D59</f>
        <v>0</v>
      </c>
      <c r="E62" s="824">
        <f t="shared" ref="E62:H62" si="28">E54*(1-E46)+E59</f>
        <v>0</v>
      </c>
      <c r="F62" s="824">
        <f t="shared" si="28"/>
        <v>0</v>
      </c>
      <c r="G62" s="824">
        <f t="shared" si="28"/>
        <v>0</v>
      </c>
      <c r="H62" s="824">
        <f t="shared" si="28"/>
        <v>0</v>
      </c>
      <c r="I62" s="817">
        <f>SUM(D62:INDEX(D62:H62,0,MATCH('RFPR cover'!$C$9,$D$6:$H$6,0)))</f>
        <v>0</v>
      </c>
      <c r="J62" s="817">
        <f>SUM(D62:H62)</f>
        <v>0</v>
      </c>
      <c r="K62" s="204"/>
      <c r="L62" s="204"/>
      <c r="M62" s="204"/>
      <c r="N62" s="204"/>
      <c r="O62"/>
      <c r="P62"/>
    </row>
    <row r="63" spans="2:16">
      <c r="B63" s="204"/>
      <c r="C63" s="204"/>
      <c r="D63" s="834"/>
      <c r="E63" s="834"/>
      <c r="F63" s="834"/>
      <c r="G63" s="834"/>
      <c r="H63" s="834"/>
      <c r="I63" s="835"/>
      <c r="J63" s="835"/>
      <c r="K63" s="204"/>
      <c r="L63" s="204"/>
      <c r="M63" s="204"/>
      <c r="N63" s="204"/>
      <c r="O63"/>
      <c r="P63"/>
    </row>
    <row r="64" spans="2:16">
      <c r="B64" s="204" t="s">
        <v>299</v>
      </c>
      <c r="C64" s="204"/>
      <c r="D64" s="834"/>
      <c r="E64" s="834"/>
      <c r="F64" s="834"/>
      <c r="G64" s="834"/>
      <c r="H64" s="834"/>
      <c r="I64" s="835"/>
      <c r="J64" s="835"/>
      <c r="K64" s="204"/>
      <c r="L64" s="204"/>
      <c r="M64" s="204"/>
      <c r="N64" s="204"/>
      <c r="O64"/>
      <c r="P64"/>
    </row>
    <row r="65" spans="2:17">
      <c r="B65" s="39" t="s">
        <v>290</v>
      </c>
      <c r="C65" s="31" t="str">
        <f>Data!$C$9</f>
        <v>£m 18/19</v>
      </c>
      <c r="D65" s="824">
        <f>D61+D48</f>
        <v>-10.024501873259517</v>
      </c>
      <c r="E65" s="824">
        <f t="shared" ref="E65:H65" si="29">E61+E48</f>
        <v>7.3201147684773813E-5</v>
      </c>
      <c r="F65" s="824">
        <f t="shared" si="29"/>
        <v>0</v>
      </c>
      <c r="G65" s="824">
        <f t="shared" si="29"/>
        <v>0</v>
      </c>
      <c r="H65" s="824">
        <f t="shared" si="29"/>
        <v>0</v>
      </c>
      <c r="I65" s="817">
        <f>SUM(D65:INDEX(D65:H65,0,MATCH('RFPR cover'!$C$9,$D$6:$H$6,0)))</f>
        <v>-10.024501873259517</v>
      </c>
      <c r="J65" s="817">
        <f>SUM(D65:H65)</f>
        <v>-10.024428672111831</v>
      </c>
      <c r="K65" s="204"/>
      <c r="L65" s="204"/>
      <c r="M65" s="204"/>
      <c r="N65" s="204"/>
      <c r="O65"/>
      <c r="P65"/>
    </row>
    <row r="66" spans="2:17">
      <c r="B66" s="39" t="s">
        <v>291</v>
      </c>
      <c r="C66" s="31" t="str">
        <f>Data!$C$9</f>
        <v>£m 18/19</v>
      </c>
      <c r="D66" s="824">
        <f>D49+D62</f>
        <v>-6.4091077550347739</v>
      </c>
      <c r="E66" s="824">
        <f t="shared" ref="E66:H66" si="30">E49+E62</f>
        <v>4.6800733765675064E-5</v>
      </c>
      <c r="F66" s="824">
        <f t="shared" si="30"/>
        <v>0</v>
      </c>
      <c r="G66" s="824">
        <f t="shared" si="30"/>
        <v>0</v>
      </c>
      <c r="H66" s="824">
        <f t="shared" si="30"/>
        <v>0</v>
      </c>
      <c r="I66" s="817">
        <f>SUM(D66:INDEX(D66:H66,0,MATCH('RFPR cover'!$C$9,$D$6:$H$6,0)))</f>
        <v>-6.4091077550347739</v>
      </c>
      <c r="J66" s="817">
        <f t="shared" ref="J66" si="31">SUM(D66:H66)</f>
        <v>-6.4090609543010082</v>
      </c>
      <c r="K66" s="204"/>
      <c r="L66" s="204"/>
      <c r="M66" s="204"/>
      <c r="N66" s="204"/>
      <c r="O66"/>
      <c r="P66"/>
    </row>
    <row r="67" spans="2:17">
      <c r="B67" s="204" t="s">
        <v>300</v>
      </c>
      <c r="C67" s="48" t="str">
        <f>Data!$C$9</f>
        <v>£m 18/19</v>
      </c>
      <c r="D67" s="824">
        <f>SUM(D65:D66)</f>
        <v>-16.433609628294292</v>
      </c>
      <c r="E67" s="824">
        <f t="shared" ref="E67:H67" si="32">SUM(E65:E66)</f>
        <v>1.2000188145044888E-4</v>
      </c>
      <c r="F67" s="824">
        <f t="shared" si="32"/>
        <v>0</v>
      </c>
      <c r="G67" s="824">
        <f t="shared" si="32"/>
        <v>0</v>
      </c>
      <c r="H67" s="824">
        <f t="shared" si="32"/>
        <v>0</v>
      </c>
      <c r="I67" s="817">
        <f>SUM(D67:INDEX(D67:H67,0,MATCH('RFPR cover'!$C$9,$D$6:$H$6,0)))</f>
        <v>-16.433609628294292</v>
      </c>
      <c r="J67" s="817">
        <f t="shared" ref="J67" si="33">SUM(D67:H67)</f>
        <v>-16.433489626412843</v>
      </c>
      <c r="K67"/>
      <c r="L67"/>
      <c r="M67"/>
      <c r="N67"/>
      <c r="O67"/>
      <c r="P67"/>
    </row>
    <row r="68" spans="2:17">
      <c r="C68" s="31"/>
      <c r="D68" s="836"/>
      <c r="E68" s="836"/>
      <c r="F68" s="836"/>
      <c r="G68" s="836"/>
      <c r="H68" s="836"/>
      <c r="I68" s="836"/>
      <c r="J68" s="836"/>
      <c r="K68" s="31"/>
      <c r="L68" s="31"/>
      <c r="M68" s="31"/>
      <c r="N68" s="31"/>
      <c r="O68" s="31"/>
      <c r="P68" s="31"/>
      <c r="Q68" s="31"/>
    </row>
    <row r="69" spans="2:17">
      <c r="B69" s="352" t="s">
        <v>303</v>
      </c>
      <c r="C69" s="44"/>
      <c r="D69" s="830"/>
      <c r="E69" s="830"/>
      <c r="F69" s="830"/>
      <c r="G69" s="830"/>
      <c r="H69" s="830"/>
      <c r="I69" s="831"/>
      <c r="J69" s="831"/>
      <c r="K69"/>
      <c r="L69"/>
      <c r="M69"/>
      <c r="N69"/>
      <c r="O69"/>
      <c r="P69"/>
    </row>
    <row r="70" spans="2:17">
      <c r="D70" s="819"/>
      <c r="E70" s="819"/>
      <c r="F70" s="819"/>
      <c r="G70" s="819"/>
      <c r="H70" s="819"/>
      <c r="I70" s="832"/>
      <c r="J70" s="832"/>
      <c r="K70"/>
      <c r="L70"/>
      <c r="M70"/>
      <c r="N70"/>
      <c r="O70"/>
      <c r="P70"/>
    </row>
    <row r="71" spans="2:17">
      <c r="B71" s="52" t="s">
        <v>304</v>
      </c>
      <c r="C71" s="31" t="str">
        <f>Data!$C$9</f>
        <v>£m 18/19</v>
      </c>
      <c r="D71" s="822">
        <v>0</v>
      </c>
      <c r="E71" s="822">
        <v>0</v>
      </c>
      <c r="F71" s="822">
        <v>0</v>
      </c>
      <c r="G71" s="822">
        <v>0</v>
      </c>
      <c r="H71" s="822">
        <v>0</v>
      </c>
      <c r="I71" s="833">
        <f>SUM(D71:INDEX(D71:H71,0,MATCH('RFPR cover'!$C$9,$D$6:$H$6,0)))</f>
        <v>0</v>
      </c>
      <c r="J71" s="833">
        <f>SUM(D71:H71)</f>
        <v>0</v>
      </c>
      <c r="K71"/>
      <c r="L71"/>
      <c r="M71"/>
      <c r="N71"/>
      <c r="O71"/>
      <c r="P71"/>
    </row>
    <row r="72" spans="2:17" ht="16.5" customHeight="1">
      <c r="B72" s="40" t="s">
        <v>305</v>
      </c>
      <c r="C72" s="11" t="str">
        <f>Data!$C$9</f>
        <v>£m 18/19</v>
      </c>
      <c r="D72" s="822">
        <v>0</v>
      </c>
      <c r="E72" s="822">
        <v>0</v>
      </c>
      <c r="F72" s="822">
        <v>0</v>
      </c>
      <c r="G72" s="822">
        <v>0</v>
      </c>
      <c r="H72" s="822">
        <v>0</v>
      </c>
      <c r="I72" s="837">
        <f>SUM(D72:INDEX(D72:H72,0,MATCH('RFPR cover'!$C$9,$D$6:$H$6,0)))</f>
        <v>0</v>
      </c>
      <c r="J72" s="837">
        <f>SUM(D72:H72)</f>
        <v>0</v>
      </c>
      <c r="K72" s="404"/>
      <c r="L72" s="404"/>
      <c r="M72" s="404"/>
      <c r="N72" s="404"/>
      <c r="O72" s="404"/>
      <c r="P72" s="404"/>
    </row>
    <row r="73" spans="2:17">
      <c r="B73" s="240" t="s">
        <v>288</v>
      </c>
      <c r="C73" s="31" t="str">
        <f>Data!$C$9</f>
        <v>£m 18/19</v>
      </c>
      <c r="D73" s="824">
        <f>D72-D71</f>
        <v>0</v>
      </c>
      <c r="E73" s="824">
        <f t="shared" ref="E73:J73" si="34">E72-E71</f>
        <v>0</v>
      </c>
      <c r="F73" s="824">
        <f t="shared" si="34"/>
        <v>0</v>
      </c>
      <c r="G73" s="824">
        <f t="shared" si="34"/>
        <v>0</v>
      </c>
      <c r="H73" s="824">
        <f t="shared" si="34"/>
        <v>0</v>
      </c>
      <c r="I73" s="817">
        <f t="shared" si="34"/>
        <v>0</v>
      </c>
      <c r="J73" s="817">
        <f t="shared" si="34"/>
        <v>0</v>
      </c>
      <c r="K73"/>
      <c r="L73"/>
      <c r="M73"/>
      <c r="N73"/>
      <c r="O73"/>
      <c r="P73"/>
    </row>
    <row r="74" spans="2:17">
      <c r="B74" s="240"/>
      <c r="C74" s="31"/>
      <c r="D74" s="31"/>
      <c r="E74" s="31"/>
      <c r="F74" s="31"/>
      <c r="G74" s="31"/>
      <c r="H74" s="31"/>
      <c r="I74" s="26"/>
      <c r="J74" s="26"/>
      <c r="K74"/>
      <c r="L74"/>
      <c r="M74"/>
      <c r="N74"/>
      <c r="O74"/>
      <c r="P74"/>
    </row>
    <row r="75" spans="2:17">
      <c r="B75" s="39" t="s">
        <v>289</v>
      </c>
      <c r="C75" s="42" t="s">
        <v>194</v>
      </c>
      <c r="D75" s="954">
        <f>INDEX(Data!$C$55:$C$83,MATCH('RFPR cover'!$C$7,Data!$B$55:$B$83,0),0)</f>
        <v>0.61</v>
      </c>
      <c r="E75" s="954">
        <f>INDEX(Data!$C$55:$C$83,MATCH('RFPR cover'!$C$7,Data!$B$55:$B$83,0),0)</f>
        <v>0.61</v>
      </c>
      <c r="F75" s="954">
        <f>INDEX(Data!$C$55:$C$83,MATCH('RFPR cover'!$C$7,Data!$B$55:$B$83,0),0)</f>
        <v>0.61</v>
      </c>
      <c r="G75" s="954">
        <f>INDEX(Data!$C$55:$C$83,MATCH('RFPR cover'!$C$7,Data!$B$55:$B$83,0),0)</f>
        <v>0.61</v>
      </c>
      <c r="H75" s="954">
        <f>INDEX(Data!$C$55:$C$83,MATCH('RFPR cover'!$C$7,Data!$B$55:$B$83,0),0)</f>
        <v>0.61</v>
      </c>
      <c r="I75" s="28"/>
      <c r="J75" s="28"/>
      <c r="K75"/>
      <c r="L75"/>
      <c r="M75"/>
      <c r="N75"/>
      <c r="O75"/>
      <c r="P75"/>
    </row>
    <row r="76" spans="2:17">
      <c r="D76" s="337"/>
      <c r="E76" s="337"/>
      <c r="F76" s="337"/>
      <c r="G76" s="337"/>
      <c r="H76" s="337"/>
      <c r="K76"/>
      <c r="L76"/>
      <c r="M76"/>
      <c r="N76"/>
      <c r="O76"/>
      <c r="P76"/>
    </row>
    <row r="77" spans="2:17">
      <c r="B77" s="39" t="s">
        <v>290</v>
      </c>
      <c r="C77" s="31" t="str">
        <f>Data!$C$9</f>
        <v>£m 18/19</v>
      </c>
      <c r="D77" s="824">
        <f>D73*D75</f>
        <v>0</v>
      </c>
      <c r="E77" s="824">
        <f t="shared" ref="E77:H77" si="35">E73*E75</f>
        <v>0</v>
      </c>
      <c r="F77" s="824">
        <f t="shared" si="35"/>
        <v>0</v>
      </c>
      <c r="G77" s="824">
        <f t="shared" si="35"/>
        <v>0</v>
      </c>
      <c r="H77" s="824">
        <f t="shared" si="35"/>
        <v>0</v>
      </c>
      <c r="I77" s="817">
        <f>SUM(D77:INDEX(D77:H77,0,MATCH('RFPR cover'!$C$9,$D$6:$H$6,0)))</f>
        <v>0</v>
      </c>
      <c r="J77" s="817">
        <f>SUM(D77:H77)</f>
        <v>0</v>
      </c>
      <c r="K77"/>
      <c r="L77"/>
      <c r="M77"/>
      <c r="N77"/>
      <c r="O77"/>
      <c r="P77"/>
    </row>
    <row r="78" spans="2:17">
      <c r="B78" s="39" t="s">
        <v>291</v>
      </c>
      <c r="C78" s="31" t="str">
        <f>Data!$C$9</f>
        <v>£m 18/19</v>
      </c>
      <c r="D78" s="824">
        <f>D73*(1-D75)</f>
        <v>0</v>
      </c>
      <c r="E78" s="824">
        <f t="shared" ref="E78:H78" si="36">E73*(1-E75)</f>
        <v>0</v>
      </c>
      <c r="F78" s="824">
        <f t="shared" si="36"/>
        <v>0</v>
      </c>
      <c r="G78" s="824">
        <f t="shared" si="36"/>
        <v>0</v>
      </c>
      <c r="H78" s="824">
        <f t="shared" si="36"/>
        <v>0</v>
      </c>
      <c r="I78" s="817">
        <f>SUM(D78:INDEX(D78:H78,0,MATCH('RFPR cover'!$C$9,$D$6:$H$6,0)))</f>
        <v>0</v>
      </c>
      <c r="J78" s="817">
        <f>SUM(D78:H78)</f>
        <v>0</v>
      </c>
      <c r="K78"/>
      <c r="L78"/>
      <c r="M78"/>
      <c r="N78"/>
      <c r="O78"/>
      <c r="P78"/>
    </row>
    <row r="79" spans="2:17">
      <c r="C79" s="39"/>
      <c r="D79" s="827"/>
      <c r="E79" s="827"/>
      <c r="F79" s="827"/>
      <c r="G79" s="827"/>
      <c r="H79" s="827"/>
      <c r="I79" s="828"/>
      <c r="J79" s="828"/>
      <c r="K79" s="39"/>
      <c r="L79" s="39"/>
      <c r="M79"/>
      <c r="N79"/>
      <c r="O79"/>
      <c r="P79"/>
    </row>
    <row r="80" spans="2:17">
      <c r="B80" s="204" t="s">
        <v>292</v>
      </c>
      <c r="D80" s="827"/>
      <c r="E80" s="827"/>
      <c r="F80" s="827"/>
      <c r="G80" s="827"/>
      <c r="H80" s="827"/>
      <c r="I80" s="818"/>
      <c r="J80" s="818"/>
      <c r="K80" s="39"/>
      <c r="L80" s="39"/>
      <c r="M80"/>
      <c r="N80"/>
      <c r="O80"/>
      <c r="P80"/>
    </row>
    <row r="81" spans="2:16">
      <c r="B81" s="359" t="s">
        <v>293</v>
      </c>
      <c r="C81" s="31" t="str">
        <f>Data!$C$9</f>
        <v>£m 18/19</v>
      </c>
      <c r="D81" s="829">
        <v>0</v>
      </c>
      <c r="E81" s="829">
        <v>0</v>
      </c>
      <c r="F81" s="829">
        <v>0</v>
      </c>
      <c r="G81" s="829">
        <v>0</v>
      </c>
      <c r="H81" s="829">
        <v>0</v>
      </c>
      <c r="I81" s="817">
        <f>SUM(D81:INDEX(D81:H81,0,MATCH('RFPR cover'!$C$9,$D$6:$H$6,0)))</f>
        <v>0</v>
      </c>
      <c r="J81" s="817">
        <f>SUM(D81:H81)</f>
        <v>0</v>
      </c>
      <c r="K81" s="39"/>
      <c r="L81" s="39"/>
      <c r="M81"/>
      <c r="N81"/>
      <c r="O81"/>
      <c r="P81"/>
    </row>
    <row r="82" spans="2:16">
      <c r="B82" s="359" t="s">
        <v>294</v>
      </c>
      <c r="C82" s="31" t="str">
        <f>Data!$C$9</f>
        <v>£m 18/19</v>
      </c>
      <c r="D82" s="829">
        <v>0</v>
      </c>
      <c r="E82" s="829">
        <v>0</v>
      </c>
      <c r="F82" s="829">
        <v>0</v>
      </c>
      <c r="G82" s="829">
        <v>0</v>
      </c>
      <c r="H82" s="829">
        <v>0</v>
      </c>
      <c r="I82" s="817">
        <f>SUM(D82:INDEX(D82:H82,0,MATCH('RFPR cover'!$C$9,$D$6:$H$6,0)))</f>
        <v>0</v>
      </c>
      <c r="J82" s="817">
        <f t="shared" ref="J82:J83" si="37">SUM(D82:H82)</f>
        <v>0</v>
      </c>
      <c r="K82" s="39"/>
      <c r="L82" s="39"/>
      <c r="M82"/>
      <c r="N82"/>
      <c r="O82"/>
      <c r="P82"/>
    </row>
    <row r="83" spans="2:16">
      <c r="B83" s="204" t="s">
        <v>295</v>
      </c>
      <c r="C83" s="31" t="str">
        <f>Data!$C$9</f>
        <v>£m 18/19</v>
      </c>
      <c r="D83" s="824">
        <f>SUM(D81:D82)</f>
        <v>0</v>
      </c>
      <c r="E83" s="824">
        <f t="shared" ref="E83" si="38">SUM(E81:E82)</f>
        <v>0</v>
      </c>
      <c r="F83" s="824">
        <f t="shared" ref="F83" si="39">SUM(F81:F82)</f>
        <v>0</v>
      </c>
      <c r="G83" s="824">
        <f t="shared" ref="G83" si="40">SUM(G81:G82)</f>
        <v>0</v>
      </c>
      <c r="H83" s="824">
        <f t="shared" ref="H83" si="41">SUM(H81:H82)</f>
        <v>0</v>
      </c>
      <c r="I83" s="817">
        <f>SUM(D83:INDEX(D83:H83,0,MATCH('RFPR cover'!$C$9,$D$6:$H$6,0)))</f>
        <v>0</v>
      </c>
      <c r="J83" s="817">
        <f t="shared" si="37"/>
        <v>0</v>
      </c>
      <c r="K83" s="39"/>
      <c r="L83" s="39"/>
      <c r="M83"/>
      <c r="N83"/>
      <c r="O83"/>
      <c r="P83"/>
    </row>
    <row r="84" spans="2:16">
      <c r="B84" s="204"/>
      <c r="C84" s="204"/>
      <c r="D84" s="834"/>
      <c r="E84" s="834"/>
      <c r="F84" s="834"/>
      <c r="G84" s="834"/>
      <c r="H84" s="834"/>
      <c r="I84" s="835"/>
      <c r="J84" s="835"/>
      <c r="K84" s="39"/>
      <c r="L84" s="39"/>
      <c r="M84"/>
      <c r="N84"/>
      <c r="O84"/>
      <c r="P84"/>
    </row>
    <row r="85" spans="2:16">
      <c r="B85" s="39" t="s">
        <v>297</v>
      </c>
      <c r="C85" s="31"/>
      <c r="D85" s="824">
        <f>D83*D75</f>
        <v>0</v>
      </c>
      <c r="E85" s="824">
        <f t="shared" ref="E85:H85" si="42">E83*E75</f>
        <v>0</v>
      </c>
      <c r="F85" s="824">
        <f t="shared" si="42"/>
        <v>0</v>
      </c>
      <c r="G85" s="824">
        <f t="shared" si="42"/>
        <v>0</v>
      </c>
      <c r="H85" s="824">
        <f t="shared" si="42"/>
        <v>0</v>
      </c>
      <c r="I85" s="817">
        <f>SUM(D85:INDEX(D85:H85,0,MATCH('RFPR cover'!$C$9,$D$6:$H$6,0)))</f>
        <v>0</v>
      </c>
      <c r="J85" s="817">
        <f>SUM(D85:H85)</f>
        <v>0</v>
      </c>
      <c r="K85" s="39"/>
      <c r="L85" s="39"/>
      <c r="M85"/>
      <c r="N85"/>
      <c r="O85"/>
      <c r="P85"/>
    </row>
    <row r="86" spans="2:16">
      <c r="B86" s="39" t="s">
        <v>298</v>
      </c>
      <c r="C86" s="31"/>
      <c r="D86" s="824">
        <f>D83*(1-D75)</f>
        <v>0</v>
      </c>
      <c r="E86" s="824">
        <f t="shared" ref="E86:H86" si="43">E83*(1-E75)</f>
        <v>0</v>
      </c>
      <c r="F86" s="824">
        <f t="shared" si="43"/>
        <v>0</v>
      </c>
      <c r="G86" s="824">
        <f t="shared" si="43"/>
        <v>0</v>
      </c>
      <c r="H86" s="824">
        <f t="shared" si="43"/>
        <v>0</v>
      </c>
      <c r="I86" s="817">
        <v>0</v>
      </c>
      <c r="J86" s="817">
        <f>SUM(D86:H86)</f>
        <v>0</v>
      </c>
      <c r="K86" s="39"/>
      <c r="L86" s="39"/>
      <c r="M86"/>
      <c r="N86"/>
      <c r="O86"/>
      <c r="P86"/>
    </row>
    <row r="87" spans="2:16">
      <c r="B87" s="204"/>
      <c r="C87" s="204"/>
      <c r="D87" s="834"/>
      <c r="E87" s="834"/>
      <c r="F87" s="834"/>
      <c r="G87" s="834"/>
      <c r="H87" s="834"/>
      <c r="I87" s="835"/>
      <c r="J87" s="835"/>
      <c r="K87" s="39"/>
      <c r="L87" s="39"/>
      <c r="M87"/>
      <c r="N87"/>
      <c r="O87"/>
      <c r="P87"/>
    </row>
    <row r="88" spans="2:16">
      <c r="B88" s="204" t="s">
        <v>299</v>
      </c>
      <c r="C88" s="204"/>
      <c r="D88" s="834"/>
      <c r="E88" s="834"/>
      <c r="F88" s="834"/>
      <c r="G88" s="834"/>
      <c r="H88" s="834"/>
      <c r="I88" s="835"/>
      <c r="J88" s="835"/>
      <c r="K88" s="39"/>
      <c r="L88" s="39"/>
      <c r="M88"/>
      <c r="N88"/>
      <c r="O88"/>
      <c r="P88"/>
    </row>
    <row r="89" spans="2:16">
      <c r="B89" s="39" t="s">
        <v>290</v>
      </c>
      <c r="C89" s="31" t="str">
        <f>Data!$C$9</f>
        <v>£m 18/19</v>
      </c>
      <c r="D89" s="824">
        <f>D85+D77</f>
        <v>0</v>
      </c>
      <c r="E89" s="824">
        <f t="shared" ref="E89:H89" si="44">E85+E77</f>
        <v>0</v>
      </c>
      <c r="F89" s="824">
        <f t="shared" si="44"/>
        <v>0</v>
      </c>
      <c r="G89" s="824">
        <f t="shared" si="44"/>
        <v>0</v>
      </c>
      <c r="H89" s="824">
        <f t="shared" si="44"/>
        <v>0</v>
      </c>
      <c r="I89" s="817">
        <f>SUM(D89:INDEX(D89:H89,0,MATCH('RFPR cover'!$C$9,$D$6:$H$6,0)))</f>
        <v>0</v>
      </c>
      <c r="J89" s="817">
        <f>SUM(D89:H89)</f>
        <v>0</v>
      </c>
      <c r="K89" s="39"/>
      <c r="L89" s="39"/>
      <c r="M89"/>
      <c r="N89"/>
      <c r="O89"/>
      <c r="P89"/>
    </row>
    <row r="90" spans="2:16">
      <c r="B90" s="39" t="s">
        <v>291</v>
      </c>
      <c r="C90" s="31" t="str">
        <f>Data!$C$9</f>
        <v>£m 18/19</v>
      </c>
      <c r="D90" s="824">
        <f>D78+D86</f>
        <v>0</v>
      </c>
      <c r="E90" s="824">
        <f t="shared" ref="E90:H90" si="45">E78+E86</f>
        <v>0</v>
      </c>
      <c r="F90" s="824">
        <f t="shared" si="45"/>
        <v>0</v>
      </c>
      <c r="G90" s="824">
        <f t="shared" si="45"/>
        <v>0</v>
      </c>
      <c r="H90" s="824">
        <f t="shared" si="45"/>
        <v>0</v>
      </c>
      <c r="I90" s="817">
        <f>SUM(D90:INDEX(D90:H90,0,MATCH('RFPR cover'!$C$9,$D$6:$H$6,0)))</f>
        <v>0</v>
      </c>
      <c r="J90" s="817">
        <f t="shared" ref="J90:J91" si="46">SUM(D90:H90)</f>
        <v>0</v>
      </c>
      <c r="K90" s="39"/>
      <c r="L90" s="39"/>
      <c r="M90"/>
      <c r="N90"/>
      <c r="O90"/>
      <c r="P90"/>
    </row>
    <row r="91" spans="2:16">
      <c r="B91" s="204" t="s">
        <v>300</v>
      </c>
      <c r="C91" s="48" t="str">
        <f>Data!$C$9</f>
        <v>£m 18/19</v>
      </c>
      <c r="D91" s="824">
        <f>SUM(D89:D90)</f>
        <v>0</v>
      </c>
      <c r="E91" s="824">
        <f t="shared" ref="E91:H91" si="47">SUM(E89:E90)</f>
        <v>0</v>
      </c>
      <c r="F91" s="824">
        <f t="shared" si="47"/>
        <v>0</v>
      </c>
      <c r="G91" s="824">
        <f t="shared" si="47"/>
        <v>0</v>
      </c>
      <c r="H91" s="824">
        <f t="shared" si="47"/>
        <v>0</v>
      </c>
      <c r="I91" s="817">
        <f>SUM(D91:INDEX(D91:H91,0,MATCH('RFPR cover'!$C$9,$D$6:$H$6,0)))</f>
        <v>0</v>
      </c>
      <c r="J91" s="817">
        <f t="shared" si="46"/>
        <v>0</v>
      </c>
      <c r="K91"/>
      <c r="L91"/>
      <c r="M91"/>
      <c r="N91"/>
      <c r="O91"/>
      <c r="P91"/>
    </row>
    <row r="92" spans="2:16">
      <c r="D92" s="337"/>
      <c r="E92" s="337"/>
      <c r="F92" s="337"/>
      <c r="G92" s="337"/>
      <c r="H92" s="337"/>
      <c r="K92"/>
      <c r="L92"/>
      <c r="M92"/>
      <c r="N92"/>
      <c r="O92"/>
      <c r="P92"/>
    </row>
    <row r="93" spans="2:16">
      <c r="B93" s="238" t="s">
        <v>306</v>
      </c>
      <c r="C93" s="44"/>
      <c r="D93" s="44"/>
      <c r="E93" s="44"/>
      <c r="F93" s="44"/>
      <c r="G93" s="44"/>
      <c r="H93" s="44"/>
      <c r="I93" s="34"/>
      <c r="J93" s="34"/>
      <c r="N93"/>
      <c r="O93"/>
      <c r="P93"/>
    </row>
    <row r="94" spans="2:16">
      <c r="D94" s="337"/>
      <c r="E94" s="337"/>
      <c r="F94" s="337"/>
      <c r="G94" s="337"/>
      <c r="H94" s="337"/>
      <c r="K94"/>
      <c r="L94"/>
      <c r="M94"/>
      <c r="N94"/>
      <c r="O94"/>
      <c r="P94"/>
    </row>
    <row r="95" spans="2:16">
      <c r="B95" s="204" t="s">
        <v>307</v>
      </c>
      <c r="D95" s="337"/>
      <c r="E95" s="337"/>
      <c r="F95" s="337"/>
      <c r="G95" s="337"/>
      <c r="H95" s="337"/>
      <c r="N95"/>
      <c r="O95"/>
      <c r="P95"/>
    </row>
    <row r="96" spans="2:16">
      <c r="B96" s="39" t="s">
        <v>308</v>
      </c>
      <c r="C96" s="31" t="str">
        <f>Data!$C$9</f>
        <v>£m 18/19</v>
      </c>
      <c r="D96" s="824">
        <f t="shared" ref="D96:H97" si="48">D36+D65+D89</f>
        <v>-14.287997711363175</v>
      </c>
      <c r="E96" s="824">
        <f t="shared" si="48"/>
        <v>3.9918640938949954</v>
      </c>
      <c r="F96" s="824">
        <f t="shared" si="48"/>
        <v>11.473597060257926</v>
      </c>
      <c r="G96" s="824">
        <f t="shared" si="48"/>
        <v>4.6780759233410514</v>
      </c>
      <c r="H96" s="824">
        <f t="shared" si="48"/>
        <v>3.7953438192131017</v>
      </c>
      <c r="I96" s="817">
        <f>SUM(D96:INDEX(D96:H96,0,MATCH('RFPR cover'!$C$9,$D$6:$H$6,0)))</f>
        <v>-14.287997711363175</v>
      </c>
      <c r="J96" s="817">
        <f>SUM(D96:H96)</f>
        <v>9.6508831853439005</v>
      </c>
      <c r="N96"/>
      <c r="O96" s="340"/>
      <c r="P96"/>
    </row>
    <row r="97" spans="2:16">
      <c r="B97" s="39" t="s">
        <v>291</v>
      </c>
      <c r="C97" s="31" t="str">
        <f>Data!$C$9</f>
        <v>£m 18/19</v>
      </c>
      <c r="D97" s="824">
        <f t="shared" si="48"/>
        <v>-9.1349493564453113</v>
      </c>
      <c r="E97" s="824">
        <f t="shared" si="48"/>
        <v>2.5521754042935223</v>
      </c>
      <c r="F97" s="824">
        <f t="shared" si="48"/>
        <v>7.3355784483616269</v>
      </c>
      <c r="G97" s="824">
        <f t="shared" si="48"/>
        <v>2.9909010001688667</v>
      </c>
      <c r="H97" s="824">
        <f t="shared" si="48"/>
        <v>2.4265312942509993</v>
      </c>
      <c r="I97" s="817">
        <f>SUM(D97:INDEX(D97:H97,0,MATCH('RFPR cover'!$C$9,$D$6:$H$6,0)))</f>
        <v>-9.1349493564453113</v>
      </c>
      <c r="J97" s="817">
        <f t="shared" ref="J97:J98" si="49">SUM(D97:H97)</f>
        <v>6.170236790629704</v>
      </c>
      <c r="N97"/>
      <c r="O97"/>
      <c r="P97"/>
    </row>
    <row r="98" spans="2:16">
      <c r="B98" s="204" t="s">
        <v>309</v>
      </c>
      <c r="C98" s="48" t="str">
        <f>Data!$C$9</f>
        <v>£m 18/19</v>
      </c>
      <c r="D98" s="824">
        <f>SUM(D96:D97)</f>
        <v>-23.422947067808487</v>
      </c>
      <c r="E98" s="824">
        <f t="shared" ref="E98:H98" si="50">SUM(E96:E97)</f>
        <v>6.5440394981885177</v>
      </c>
      <c r="F98" s="824">
        <f t="shared" si="50"/>
        <v>18.809175508619553</v>
      </c>
      <c r="G98" s="824">
        <f t="shared" si="50"/>
        <v>7.6689769235099181</v>
      </c>
      <c r="H98" s="824">
        <f t="shared" si="50"/>
        <v>6.221875113464101</v>
      </c>
      <c r="I98" s="817">
        <f>SUM(D98:INDEX(D98:H98,0,MATCH('RFPR cover'!$C$9,$D$6:$H$6,0)))</f>
        <v>-23.422947067808487</v>
      </c>
      <c r="J98" s="817">
        <f t="shared" si="49"/>
        <v>15.821119975973604</v>
      </c>
      <c r="N98"/>
      <c r="O98"/>
      <c r="P98"/>
    </row>
    <row r="99" spans="2:16">
      <c r="B99" s="204"/>
      <c r="C99" s="48"/>
      <c r="D99" s="48"/>
      <c r="E99" s="48"/>
      <c r="F99" s="48"/>
      <c r="G99" s="48"/>
      <c r="H99" s="48"/>
      <c r="I99" s="48"/>
      <c r="J99" s="48"/>
      <c r="N99"/>
      <c r="O99"/>
      <c r="P99"/>
    </row>
    <row r="100" spans="2:16">
      <c r="B100" s="470" t="s">
        <v>310</v>
      </c>
      <c r="C100" s="76"/>
      <c r="D100" s="76"/>
      <c r="E100" s="76"/>
      <c r="F100" s="76"/>
      <c r="G100" s="76"/>
      <c r="H100" s="76"/>
      <c r="I100" s="77"/>
      <c r="J100" s="77"/>
    </row>
    <row r="101" spans="2:16">
      <c r="D101" s="337"/>
      <c r="E101" s="337"/>
      <c r="F101" s="337"/>
      <c r="G101" s="337"/>
      <c r="H101" s="337"/>
    </row>
    <row r="102" spans="2:16">
      <c r="B102" s="2"/>
      <c r="D102" s="337"/>
      <c r="E102" s="337"/>
      <c r="F102" s="337"/>
      <c r="G102" s="337"/>
      <c r="H102" s="337"/>
    </row>
    <row r="103" spans="2:16">
      <c r="B103" s="3"/>
      <c r="D103" s="512" t="str">
        <f t="shared" ref="D103:H103" si="51">IF(D104&lt;=Reporting_Year,"Actuals","N/A")</f>
        <v>Actuals</v>
      </c>
      <c r="E103" s="512" t="str">
        <f t="shared" si="51"/>
        <v>N/A</v>
      </c>
      <c r="F103" s="512" t="str">
        <f t="shared" si="51"/>
        <v>N/A</v>
      </c>
      <c r="G103" s="512" t="str">
        <f t="shared" si="51"/>
        <v>N/A</v>
      </c>
      <c r="H103" s="512" t="str">
        <f t="shared" si="51"/>
        <v>N/A</v>
      </c>
    </row>
    <row r="104" spans="2:16">
      <c r="B104" s="2"/>
      <c r="D104" s="401">
        <f>'RFPR cover'!$C$6</f>
        <v>2022</v>
      </c>
      <c r="E104" s="401">
        <f t="shared" ref="E104:H104" si="52">D104+1</f>
        <v>2023</v>
      </c>
      <c r="F104" s="401">
        <f t="shared" si="52"/>
        <v>2024</v>
      </c>
      <c r="G104" s="401">
        <f t="shared" si="52"/>
        <v>2025</v>
      </c>
      <c r="H104" s="401">
        <f t="shared" si="52"/>
        <v>2026</v>
      </c>
    </row>
    <row r="105" spans="2:16">
      <c r="B105" s="2"/>
      <c r="D105" s="401" t="str">
        <f>RIIO_2_start_date-1&amp;"/"&amp;RIGHT(RIIO_2_start_date,2)</f>
        <v>2021/22</v>
      </c>
      <c r="E105" s="401" t="str">
        <f>RIIO_2_start_date&amp;"/"&amp;RIGHT(RIIO_2_start_date+1,2)</f>
        <v>2022/23</v>
      </c>
      <c r="F105" s="401" t="str">
        <f>RIIO_2_start_date+1&amp;"/"&amp;RIGHT(RIIO_2_start_date+2,2)</f>
        <v>2023/24</v>
      </c>
      <c r="G105" s="401" t="str">
        <f>RIIO_2_start_date+2&amp;"/"&amp;RIGHT(RIIO_2_start_date+3,2)</f>
        <v>2024/25</v>
      </c>
      <c r="H105" s="401" t="str">
        <f>RIIO_2_start_date+3&amp;"/"&amp;RIGHT(RIIO_2_start_date+4,2)</f>
        <v>2025/26</v>
      </c>
    </row>
    <row r="106" spans="2:16">
      <c r="B106" s="2"/>
      <c r="D106" s="42"/>
      <c r="E106" s="42"/>
      <c r="F106" s="42"/>
      <c r="G106" s="42"/>
      <c r="H106" s="42"/>
      <c r="I106" s="42"/>
    </row>
    <row r="107" spans="2:16">
      <c r="B107" s="5" t="s">
        <v>311</v>
      </c>
      <c r="C107" s="43"/>
      <c r="D107" s="838"/>
      <c r="E107" s="838"/>
      <c r="F107" s="838"/>
      <c r="G107" s="838"/>
      <c r="H107" s="838"/>
      <c r="N107"/>
    </row>
    <row r="108" spans="2:16">
      <c r="B108" s="39" t="s">
        <v>312</v>
      </c>
      <c r="C108" s="46" t="s">
        <v>230</v>
      </c>
      <c r="D108" s="829">
        <v>200.15534919999999</v>
      </c>
      <c r="E108" s="829"/>
      <c r="F108" s="829"/>
      <c r="G108" s="829"/>
      <c r="H108" s="829"/>
    </row>
    <row r="109" spans="2:16">
      <c r="B109" s="39" t="s">
        <v>313</v>
      </c>
      <c r="C109" s="46" t="s">
        <v>230</v>
      </c>
      <c r="D109" s="829">
        <v>42.680576530000003</v>
      </c>
      <c r="E109" s="829"/>
      <c r="F109" s="829"/>
      <c r="G109" s="829"/>
      <c r="H109" s="829"/>
    </row>
    <row r="110" spans="2:16" ht="40.5">
      <c r="B110" s="40" t="s">
        <v>314</v>
      </c>
      <c r="C110" s="46" t="s">
        <v>230</v>
      </c>
      <c r="D110" s="829">
        <v>0</v>
      </c>
      <c r="E110" s="829"/>
      <c r="F110" s="829"/>
      <c r="G110" s="829"/>
      <c r="H110" s="829"/>
    </row>
    <row r="111" spans="2:16">
      <c r="B111" s="39" t="s">
        <v>315</v>
      </c>
      <c r="C111" s="46" t="s">
        <v>230</v>
      </c>
      <c r="D111" s="829">
        <v>0</v>
      </c>
      <c r="E111" s="829"/>
      <c r="F111" s="829"/>
      <c r="G111" s="829"/>
      <c r="H111" s="829"/>
    </row>
    <row r="112" spans="2:16">
      <c r="B112" s="39" t="s">
        <v>316</v>
      </c>
      <c r="C112" s="46" t="s">
        <v>230</v>
      </c>
      <c r="D112" s="829">
        <v>0</v>
      </c>
      <c r="E112" s="829"/>
      <c r="F112" s="829"/>
      <c r="G112" s="829"/>
      <c r="H112" s="829"/>
      <c r="O112"/>
      <c r="P112"/>
    </row>
    <row r="113" spans="1:8">
      <c r="B113" s="39" t="s">
        <v>317</v>
      </c>
      <c r="C113" s="46" t="s">
        <v>230</v>
      </c>
      <c r="D113" s="829">
        <v>0</v>
      </c>
      <c r="E113" s="829"/>
      <c r="F113" s="829"/>
      <c r="G113" s="829"/>
      <c r="H113" s="829"/>
    </row>
    <row r="114" spans="1:8">
      <c r="A114" s="3">
        <v>1</v>
      </c>
      <c r="B114" s="359" t="s">
        <v>251</v>
      </c>
      <c r="C114" s="46" t="s">
        <v>230</v>
      </c>
      <c r="D114" s="829">
        <v>0</v>
      </c>
      <c r="E114" s="829"/>
      <c r="F114" s="829"/>
      <c r="G114" s="829"/>
      <c r="H114" s="829"/>
    </row>
    <row r="115" spans="1:8">
      <c r="A115" s="3">
        <v>2</v>
      </c>
      <c r="B115" s="359" t="s">
        <v>251</v>
      </c>
      <c r="C115" s="46" t="s">
        <v>230</v>
      </c>
      <c r="D115" s="829">
        <v>0</v>
      </c>
      <c r="E115" s="829"/>
      <c r="F115" s="829"/>
      <c r="G115" s="829"/>
      <c r="H115" s="829"/>
    </row>
    <row r="116" spans="1:8">
      <c r="A116" s="3">
        <v>3</v>
      </c>
      <c r="B116" s="802" t="s">
        <v>248</v>
      </c>
      <c r="C116" s="46" t="s">
        <v>230</v>
      </c>
      <c r="D116" s="829">
        <v>0</v>
      </c>
      <c r="E116" s="829"/>
      <c r="F116" s="829"/>
      <c r="G116" s="829"/>
      <c r="H116" s="829"/>
    </row>
    <row r="117" spans="1:8">
      <c r="B117" s="5" t="s">
        <v>318</v>
      </c>
      <c r="C117" s="46" t="s">
        <v>230</v>
      </c>
      <c r="D117" s="845">
        <f t="shared" ref="D117:H117" si="53">SUM(D108:D116)</f>
        <v>242.83592572999999</v>
      </c>
      <c r="E117" s="824">
        <f t="shared" si="53"/>
        <v>0</v>
      </c>
      <c r="F117" s="824">
        <f t="shared" si="53"/>
        <v>0</v>
      </c>
      <c r="G117" s="824">
        <f t="shared" si="53"/>
        <v>0</v>
      </c>
      <c r="H117" s="824">
        <f t="shared" si="53"/>
        <v>0</v>
      </c>
    </row>
    <row r="118" spans="1:8">
      <c r="B118" s="39" t="s">
        <v>319</v>
      </c>
      <c r="C118" s="46" t="s">
        <v>230</v>
      </c>
      <c r="D118" s="829">
        <v>287.36828958999996</v>
      </c>
      <c r="E118" s="829"/>
      <c r="F118" s="829"/>
      <c r="G118" s="829"/>
      <c r="H118" s="829"/>
    </row>
    <row r="119" spans="1:8">
      <c r="A119" s="3">
        <v>1</v>
      </c>
      <c r="B119" s="359" t="s">
        <v>1131</v>
      </c>
      <c r="C119" s="46" t="s">
        <v>230</v>
      </c>
      <c r="D119" s="829">
        <v>167.28800365000001</v>
      </c>
      <c r="E119" s="829"/>
      <c r="F119" s="829"/>
      <c r="G119" s="829"/>
      <c r="H119" s="829"/>
    </row>
    <row r="120" spans="1:8">
      <c r="A120" s="3">
        <v>2</v>
      </c>
      <c r="B120" s="359" t="s">
        <v>251</v>
      </c>
      <c r="C120" s="46" t="s">
        <v>230</v>
      </c>
      <c r="D120" s="829">
        <v>0</v>
      </c>
      <c r="E120" s="829"/>
      <c r="F120" s="829"/>
      <c r="G120" s="829"/>
      <c r="H120" s="829"/>
    </row>
    <row r="121" spans="1:8">
      <c r="A121" s="3">
        <v>3</v>
      </c>
      <c r="B121" s="802" t="s">
        <v>248</v>
      </c>
      <c r="C121" s="46" t="s">
        <v>230</v>
      </c>
      <c r="D121" s="829">
        <v>0</v>
      </c>
      <c r="E121" s="829"/>
      <c r="F121" s="829"/>
      <c r="G121" s="829"/>
      <c r="H121" s="829"/>
    </row>
    <row r="122" spans="1:8">
      <c r="A122" s="3"/>
      <c r="B122" s="5" t="s">
        <v>320</v>
      </c>
      <c r="C122" s="46" t="s">
        <v>230</v>
      </c>
      <c r="D122" s="824">
        <f>SUM(D118:D121)</f>
        <v>454.65629323999997</v>
      </c>
      <c r="E122" s="824">
        <f t="shared" ref="E122:H122" si="54">SUM(E118:E121)</f>
        <v>0</v>
      </c>
      <c r="F122" s="824">
        <f t="shared" si="54"/>
        <v>0</v>
      </c>
      <c r="G122" s="824">
        <f t="shared" si="54"/>
        <v>0</v>
      </c>
      <c r="H122" s="824">
        <f t="shared" si="54"/>
        <v>0</v>
      </c>
    </row>
    <row r="123" spans="1:8" s="212" customFormat="1" ht="15" customHeight="1">
      <c r="B123" s="260" t="s">
        <v>321</v>
      </c>
      <c r="C123" s="355" t="s">
        <v>230</v>
      </c>
      <c r="D123" s="824">
        <f>SUM(D117,D122)</f>
        <v>697.49221896999995</v>
      </c>
      <c r="E123" s="824">
        <f t="shared" ref="E123:H123" si="55">SUM(E117,E122)</f>
        <v>0</v>
      </c>
      <c r="F123" s="824">
        <f t="shared" si="55"/>
        <v>0</v>
      </c>
      <c r="G123" s="824">
        <f t="shared" si="55"/>
        <v>0</v>
      </c>
      <c r="H123" s="824">
        <f t="shared" si="55"/>
        <v>0</v>
      </c>
    </row>
    <row r="124" spans="1:8" ht="7.5" customHeight="1">
      <c r="B124" s="2"/>
      <c r="D124" s="840"/>
      <c r="E124" s="840"/>
      <c r="F124" s="840"/>
      <c r="G124" s="840"/>
      <c r="H124" s="840"/>
    </row>
    <row r="125" spans="1:8" ht="26.5" customHeight="1">
      <c r="B125" s="5" t="s">
        <v>322</v>
      </c>
      <c r="C125" s="46"/>
      <c r="D125" s="827"/>
      <c r="E125" s="827"/>
      <c r="F125" s="827"/>
      <c r="G125" s="827"/>
      <c r="H125" s="827"/>
    </row>
    <row r="126" spans="1:8">
      <c r="B126" s="570" t="s">
        <v>323</v>
      </c>
      <c r="C126" s="46"/>
      <c r="D126" s="827"/>
      <c r="E126" s="827"/>
      <c r="F126" s="827"/>
      <c r="G126" s="827"/>
      <c r="H126" s="827"/>
    </row>
    <row r="127" spans="1:8">
      <c r="A127" s="3">
        <v>1</v>
      </c>
      <c r="B127" s="359" t="s">
        <v>1099</v>
      </c>
      <c r="C127" s="46" t="s">
        <v>230</v>
      </c>
      <c r="D127" s="829">
        <v>6.7539208499999992</v>
      </c>
      <c r="E127" s="829"/>
      <c r="F127" s="829"/>
      <c r="G127" s="829"/>
      <c r="H127" s="829"/>
    </row>
    <row r="128" spans="1:8">
      <c r="A128" s="3">
        <v>2</v>
      </c>
      <c r="B128" s="359" t="s">
        <v>1100</v>
      </c>
      <c r="C128" s="46" t="s">
        <v>230</v>
      </c>
      <c r="D128" s="829">
        <v>-165.59833773999998</v>
      </c>
      <c r="E128" s="829"/>
      <c r="F128" s="829"/>
      <c r="G128" s="829"/>
      <c r="H128" s="829"/>
    </row>
    <row r="129" spans="1:8">
      <c r="A129" s="3">
        <v>3</v>
      </c>
      <c r="B129" s="979" t="s">
        <v>1101</v>
      </c>
      <c r="C129" s="46" t="s">
        <v>230</v>
      </c>
      <c r="D129" s="829">
        <v>-4.3603631272158472</v>
      </c>
      <c r="E129" s="829"/>
      <c r="F129" s="829"/>
      <c r="G129" s="829"/>
      <c r="H129" s="829"/>
    </row>
    <row r="130" spans="1:8">
      <c r="A130" s="3">
        <v>4</v>
      </c>
      <c r="B130" s="979" t="s">
        <v>1096</v>
      </c>
      <c r="C130" s="46" t="s">
        <v>230</v>
      </c>
      <c r="D130" s="829">
        <v>1.4975970412867683</v>
      </c>
      <c r="E130" s="829"/>
      <c r="F130" s="829"/>
      <c r="G130" s="829"/>
      <c r="H130" s="829"/>
    </row>
    <row r="131" spans="1:8">
      <c r="A131" s="3">
        <v>5</v>
      </c>
      <c r="B131" s="979" t="s">
        <v>1124</v>
      </c>
      <c r="C131" s="46" t="s">
        <v>230</v>
      </c>
      <c r="D131" s="829">
        <v>-6.8927442600000006</v>
      </c>
      <c r="E131" s="829"/>
      <c r="F131" s="829"/>
      <c r="G131" s="829"/>
      <c r="H131" s="829"/>
    </row>
    <row r="132" spans="1:8">
      <c r="A132" s="3">
        <v>6</v>
      </c>
      <c r="B132" s="979" t="s">
        <v>1093</v>
      </c>
      <c r="C132" s="46" t="s">
        <v>230</v>
      </c>
      <c r="D132" s="829">
        <v>-8.2720286999999999</v>
      </c>
      <c r="E132" s="829"/>
      <c r="F132" s="829"/>
      <c r="G132" s="829"/>
      <c r="H132" s="829"/>
    </row>
    <row r="133" spans="1:8">
      <c r="A133" s="3">
        <v>7</v>
      </c>
      <c r="B133" s="979" t="s">
        <v>1094</v>
      </c>
      <c r="C133" s="46" t="s">
        <v>230</v>
      </c>
      <c r="D133" s="829">
        <v>-27.470365879999989</v>
      </c>
      <c r="E133" s="829"/>
      <c r="F133" s="829"/>
      <c r="G133" s="829"/>
      <c r="H133" s="829"/>
    </row>
    <row r="134" spans="1:8">
      <c r="A134" s="3">
        <v>8</v>
      </c>
      <c r="B134" s="979" t="s">
        <v>1092</v>
      </c>
      <c r="C134" s="46" t="s">
        <v>230</v>
      </c>
      <c r="D134" s="829">
        <v>-16.068000000000001</v>
      </c>
      <c r="E134" s="829"/>
      <c r="F134" s="829"/>
      <c r="G134" s="829"/>
      <c r="H134" s="829"/>
    </row>
    <row r="135" spans="1:8">
      <c r="A135" s="3">
        <v>9</v>
      </c>
      <c r="B135" s="979" t="s">
        <v>1095</v>
      </c>
      <c r="C135" s="46" t="s">
        <v>230</v>
      </c>
      <c r="D135" s="829">
        <v>26.67073925</v>
      </c>
      <c r="E135" s="829"/>
      <c r="F135" s="829"/>
      <c r="G135" s="829"/>
      <c r="H135" s="829"/>
    </row>
    <row r="136" spans="1:8">
      <c r="A136" s="3">
        <v>10</v>
      </c>
      <c r="B136" s="979" t="s">
        <v>1097</v>
      </c>
      <c r="C136" s="46" t="s">
        <v>230</v>
      </c>
      <c r="D136" s="829">
        <v>0.19183300170888298</v>
      </c>
      <c r="E136" s="829"/>
      <c r="F136" s="829"/>
      <c r="G136" s="829"/>
      <c r="H136" s="829"/>
    </row>
    <row r="137" spans="1:8">
      <c r="A137" s="3">
        <v>11</v>
      </c>
      <c r="B137" s="979" t="s">
        <v>1111</v>
      </c>
      <c r="C137" s="46" t="s">
        <v>230</v>
      </c>
      <c r="D137" s="829">
        <v>2.0543789950282392</v>
      </c>
      <c r="E137" s="829"/>
      <c r="F137" s="829"/>
      <c r="G137" s="829"/>
      <c r="H137" s="829"/>
    </row>
    <row r="138" spans="1:8">
      <c r="A138" s="3">
        <v>12</v>
      </c>
      <c r="B138" s="979" t="s">
        <v>1110</v>
      </c>
      <c r="C138" s="46" t="s">
        <v>230</v>
      </c>
      <c r="D138" s="829">
        <v>0.87046841000000019</v>
      </c>
      <c r="E138" s="829"/>
      <c r="F138" s="829"/>
      <c r="G138" s="829"/>
      <c r="H138" s="829"/>
    </row>
    <row r="139" spans="1:8">
      <c r="A139" s="3">
        <v>13</v>
      </c>
      <c r="B139" s="979" t="s">
        <v>1098</v>
      </c>
      <c r="C139" s="46" t="s">
        <v>230</v>
      </c>
      <c r="D139" s="829">
        <v>-2.2999999999999998</v>
      </c>
      <c r="E139" s="829"/>
      <c r="F139" s="829"/>
      <c r="G139" s="829"/>
      <c r="H139" s="829"/>
    </row>
    <row r="140" spans="1:8">
      <c r="A140" s="3">
        <v>14</v>
      </c>
      <c r="B140" s="802" t="s">
        <v>248</v>
      </c>
      <c r="C140" s="46" t="s">
        <v>230</v>
      </c>
      <c r="D140" s="829">
        <v>0</v>
      </c>
      <c r="E140" s="829"/>
      <c r="F140" s="829"/>
      <c r="G140" s="829"/>
      <c r="H140" s="829"/>
    </row>
    <row r="141" spans="1:8" ht="18.649999999999999" customHeight="1">
      <c r="A141" s="3"/>
      <c r="B141" s="2" t="s">
        <v>324</v>
      </c>
      <c r="C141" s="46" t="s">
        <v>230</v>
      </c>
      <c r="D141" s="824">
        <f>SUM(D127:D140)</f>
        <v>-192.92290215919195</v>
      </c>
      <c r="E141" s="824">
        <f t="shared" ref="E141:H141" si="56">SUM(E127:E140)</f>
        <v>0</v>
      </c>
      <c r="F141" s="824">
        <f t="shared" si="56"/>
        <v>0</v>
      </c>
      <c r="G141" s="824">
        <f t="shared" si="56"/>
        <v>0</v>
      </c>
      <c r="H141" s="824">
        <f t="shared" si="56"/>
        <v>0</v>
      </c>
    </row>
    <row r="142" spans="1:8">
      <c r="A142" s="3"/>
      <c r="B142" s="570" t="s">
        <v>325</v>
      </c>
      <c r="C142" s="5"/>
      <c r="D142" s="834"/>
      <c r="E142" s="834"/>
      <c r="F142" s="834"/>
      <c r="G142" s="834"/>
      <c r="H142" s="834"/>
    </row>
    <row r="143" spans="1:8">
      <c r="A143" s="3">
        <v>15</v>
      </c>
      <c r="B143" s="359" t="s">
        <v>1102</v>
      </c>
      <c r="C143" s="46" t="s">
        <v>230</v>
      </c>
      <c r="D143" s="829">
        <v>-16.026856120000001</v>
      </c>
      <c r="E143" s="829"/>
      <c r="F143" s="829"/>
      <c r="G143" s="829"/>
      <c r="H143" s="829"/>
    </row>
    <row r="144" spans="1:8">
      <c r="A144" s="3">
        <v>16</v>
      </c>
      <c r="B144" s="979" t="s">
        <v>1103</v>
      </c>
      <c r="C144" s="46" t="s">
        <v>230</v>
      </c>
      <c r="D144" s="829">
        <v>-16.420000000000002</v>
      </c>
      <c r="E144" s="829"/>
      <c r="F144" s="829"/>
      <c r="G144" s="829"/>
      <c r="H144" s="829"/>
    </row>
    <row r="145" spans="1:16">
      <c r="A145" s="3">
        <v>17</v>
      </c>
      <c r="B145" s="982" t="s">
        <v>1104</v>
      </c>
      <c r="C145" s="46" t="s">
        <v>230</v>
      </c>
      <c r="D145" s="829">
        <v>-9.7041512700000059</v>
      </c>
      <c r="E145" s="829"/>
      <c r="F145" s="829"/>
      <c r="G145" s="829"/>
      <c r="H145" s="829"/>
    </row>
    <row r="146" spans="1:16">
      <c r="A146" s="3">
        <v>18</v>
      </c>
      <c r="B146" s="979" t="s">
        <v>1124</v>
      </c>
      <c r="C146" s="46" t="s">
        <v>230</v>
      </c>
      <c r="D146" s="829">
        <v>8.0602635500000002</v>
      </c>
      <c r="E146" s="829"/>
      <c r="F146" s="829"/>
      <c r="G146" s="829"/>
      <c r="H146" s="829"/>
      <c r="O146"/>
      <c r="P146"/>
    </row>
    <row r="147" spans="1:16">
      <c r="A147" s="3">
        <v>19</v>
      </c>
      <c r="B147" s="979" t="s">
        <v>1105</v>
      </c>
      <c r="C147" s="46" t="s">
        <v>230</v>
      </c>
      <c r="D147" s="829">
        <v>-0.19953001000000001</v>
      </c>
      <c r="E147" s="829"/>
      <c r="F147" s="829"/>
      <c r="G147" s="829"/>
      <c r="H147" s="829"/>
      <c r="O147"/>
      <c r="P147"/>
    </row>
    <row r="148" spans="1:16">
      <c r="A148" s="3">
        <v>20</v>
      </c>
      <c r="B148" s="802" t="s">
        <v>248</v>
      </c>
      <c r="C148" s="46" t="s">
        <v>230</v>
      </c>
      <c r="D148" s="829">
        <v>0</v>
      </c>
      <c r="E148" s="829"/>
      <c r="F148" s="829"/>
      <c r="G148" s="829"/>
      <c r="H148" s="829"/>
      <c r="O148"/>
      <c r="P148"/>
    </row>
    <row r="149" spans="1:16" ht="19.5" customHeight="1">
      <c r="A149" s="3"/>
      <c r="B149" s="2" t="s">
        <v>324</v>
      </c>
      <c r="C149" s="46" t="s">
        <v>230</v>
      </c>
      <c r="D149" s="824">
        <f>SUM(D143:D148)</f>
        <v>-34.290273850000005</v>
      </c>
      <c r="E149" s="824">
        <f>SUM(E143:E148)</f>
        <v>0</v>
      </c>
      <c r="F149" s="824">
        <f>SUM(F143:F148)</f>
        <v>0</v>
      </c>
      <c r="G149" s="824">
        <f>SUM(G143:G148)</f>
        <v>0</v>
      </c>
      <c r="H149" s="824">
        <f>SUM(H143:H148)</f>
        <v>0</v>
      </c>
      <c r="O149"/>
      <c r="P149"/>
    </row>
    <row r="150" spans="1:16" ht="17.25" customHeight="1">
      <c r="B150" s="5" t="s">
        <v>326</v>
      </c>
      <c r="C150" s="46" t="s">
        <v>230</v>
      </c>
      <c r="D150" s="824">
        <f>D141+D149</f>
        <v>-227.21317600919195</v>
      </c>
      <c r="E150" s="824">
        <f>E141+E149</f>
        <v>0</v>
      </c>
      <c r="F150" s="824">
        <f>F141+F149</f>
        <v>0</v>
      </c>
      <c r="G150" s="824">
        <f>G141+G149</f>
        <v>0</v>
      </c>
      <c r="H150" s="824">
        <f>H141+H149</f>
        <v>0</v>
      </c>
      <c r="O150"/>
      <c r="P150"/>
    </row>
    <row r="151" spans="1:16">
      <c r="B151" s="2"/>
      <c r="D151" s="840"/>
      <c r="E151" s="840"/>
      <c r="F151" s="840"/>
      <c r="G151" s="840"/>
      <c r="H151" s="840"/>
      <c r="O151"/>
      <c r="P151"/>
    </row>
    <row r="152" spans="1:16">
      <c r="B152" s="5" t="s">
        <v>327</v>
      </c>
      <c r="C152" s="46" t="s">
        <v>230</v>
      </c>
      <c r="D152" s="824">
        <f>D150+D123</f>
        <v>470.279042960808</v>
      </c>
      <c r="E152" s="824">
        <f>E150+E123</f>
        <v>0</v>
      </c>
      <c r="F152" s="824">
        <f>F150+F123</f>
        <v>0</v>
      </c>
      <c r="G152" s="824">
        <f>G150+G123</f>
        <v>0</v>
      </c>
      <c r="H152" s="824">
        <f>H150+H123</f>
        <v>0</v>
      </c>
      <c r="O152" s="340"/>
      <c r="P152"/>
    </row>
    <row r="153" spans="1:16">
      <c r="B153" s="2" t="s">
        <v>328</v>
      </c>
      <c r="C153" s="46" t="s">
        <v>23</v>
      </c>
      <c r="D153" s="822">
        <v>433.5231197981829</v>
      </c>
      <c r="E153" s="822"/>
      <c r="F153" s="822"/>
      <c r="G153" s="822"/>
      <c r="H153" s="822"/>
      <c r="O153"/>
      <c r="P153"/>
    </row>
    <row r="154" spans="1:16">
      <c r="B154" s="2" t="s">
        <v>329</v>
      </c>
      <c r="C154" s="46" t="s">
        <v>230</v>
      </c>
      <c r="D154" s="822"/>
      <c r="E154" s="822"/>
      <c r="F154" s="822"/>
      <c r="G154" s="822"/>
      <c r="H154" s="822"/>
    </row>
    <row r="155" spans="1:16">
      <c r="B155" s="2" t="s">
        <v>330</v>
      </c>
      <c r="C155" s="46" t="s">
        <v>230</v>
      </c>
      <c r="D155" s="841">
        <f>IF(A2="ESO",D154,D153*INDEX(real_to_nominal_CF,MATCH(D6,calendar_year,0)))</f>
        <v>470.27874033031901</v>
      </c>
      <c r="E155" s="841">
        <f>IF(B2="ESO",E154,E153*INDEX(real_to_nominal_CF,MATCH(E6,calendar_year,0)))</f>
        <v>0</v>
      </c>
      <c r="F155" s="841">
        <f>IF(C2="ESO",F154,F153*INDEX(real_to_nominal_CF,MATCH(F6,calendar_year,0)))</f>
        <v>0</v>
      </c>
      <c r="G155" s="841">
        <f>IF(D2="ESO",G154,G153*INDEX(real_to_nominal_CF,MATCH(G6,calendar_year,0)))</f>
        <v>0</v>
      </c>
      <c r="H155" s="841">
        <f>IF(E2="ESO",H154,H153*INDEX(real_to_nominal_CF,MATCH(H6,calendar_year,0)))</f>
        <v>0</v>
      </c>
      <c r="I155"/>
      <c r="O155"/>
      <c r="P155"/>
    </row>
    <row r="156" spans="1:16">
      <c r="B156" s="2"/>
      <c r="C156" s="42" t="s">
        <v>331</v>
      </c>
      <c r="D156" s="842" t="str">
        <f>IF(D$103="Actuals",IF(ABS(D152-D155)&lt;materiality_threshold,"OK","ERROR"),"N/A")</f>
        <v>OK</v>
      </c>
      <c r="E156" s="842" t="str">
        <f>IF(E$103="Actuals",IF(ABS(E152-E155)&lt;materiality_threshold,"OK","ERROR"),"N/A")</f>
        <v>N/A</v>
      </c>
      <c r="F156" s="842" t="str">
        <f>IF(F$103="Actuals",IF(ABS(F152-F155)&lt;materiality_threshold,"OK","ERROR"),"N/A")</f>
        <v>N/A</v>
      </c>
      <c r="G156" s="842" t="str">
        <f>IF(G$103="Actuals",IF(ABS(G152-G155)&lt;materiality_threshold,"OK","ERROR"),"N/A")</f>
        <v>N/A</v>
      </c>
      <c r="H156" s="842" t="str">
        <f>IF(H$103="Actuals",IF(ABS(H152-H155)&lt;materiality_threshold,"OK","ERROR"),"N/A")</f>
        <v>N/A</v>
      </c>
      <c r="O156"/>
      <c r="P156"/>
    </row>
    <row r="157" spans="1:16">
      <c r="B157" s="2" t="s">
        <v>157</v>
      </c>
      <c r="D157" s="337"/>
      <c r="E157" s="337"/>
      <c r="F157" s="337"/>
      <c r="G157" s="337"/>
      <c r="H157" s="337"/>
      <c r="O157"/>
      <c r="P157"/>
    </row>
    <row r="158" spans="1:16">
      <c r="B158" s="5" t="s">
        <v>332</v>
      </c>
      <c r="C158" s="46"/>
      <c r="D158" s="337"/>
      <c r="E158" s="337"/>
      <c r="F158" s="337"/>
      <c r="G158" s="337"/>
      <c r="H158" s="337"/>
    </row>
    <row r="159" spans="1:16">
      <c r="A159" s="3">
        <v>1</v>
      </c>
      <c r="B159" s="359" t="s">
        <v>1106</v>
      </c>
      <c r="C159" s="46" t="s">
        <v>230</v>
      </c>
      <c r="D159" s="829">
        <v>84.131455000000003</v>
      </c>
      <c r="E159" s="829"/>
      <c r="F159" s="829"/>
      <c r="G159" s="829"/>
      <c r="H159" s="829"/>
    </row>
    <row r="160" spans="1:16">
      <c r="A160" s="3">
        <v>2</v>
      </c>
      <c r="B160" s="979" t="s">
        <v>1107</v>
      </c>
      <c r="C160" s="46" t="s">
        <v>230</v>
      </c>
      <c r="D160" s="829">
        <v>24.342300000000002</v>
      </c>
      <c r="E160" s="829"/>
      <c r="F160" s="829"/>
      <c r="G160" s="829"/>
      <c r="H160" s="829"/>
    </row>
    <row r="161" spans="1:16">
      <c r="A161" s="3">
        <v>3</v>
      </c>
      <c r="B161" s="979" t="s">
        <v>1108</v>
      </c>
      <c r="C161" s="46" t="s">
        <v>230</v>
      </c>
      <c r="D161" s="829">
        <v>16.424431119999998</v>
      </c>
      <c r="E161" s="829"/>
      <c r="F161" s="829"/>
      <c r="G161" s="829"/>
      <c r="H161" s="829"/>
    </row>
    <row r="162" spans="1:16">
      <c r="A162" s="3">
        <v>4</v>
      </c>
      <c r="B162" s="979" t="s">
        <v>1095</v>
      </c>
      <c r="C162" s="46" t="s">
        <v>230</v>
      </c>
      <c r="D162" s="829">
        <v>26.67073925</v>
      </c>
      <c r="E162" s="829"/>
      <c r="F162" s="829"/>
      <c r="G162" s="829"/>
      <c r="H162" s="829"/>
    </row>
    <row r="163" spans="1:16">
      <c r="A163" s="3">
        <v>5</v>
      </c>
      <c r="B163" s="979" t="s">
        <v>1109</v>
      </c>
      <c r="C163" s="46" t="s">
        <v>230</v>
      </c>
      <c r="D163" s="829">
        <v>-6.2549999999999997E-4</v>
      </c>
      <c r="E163" s="829"/>
      <c r="F163" s="829"/>
      <c r="G163" s="829"/>
      <c r="H163" s="829"/>
    </row>
    <row r="164" spans="1:16">
      <c r="A164" s="3">
        <v>6</v>
      </c>
      <c r="B164" s="979" t="s">
        <v>1110</v>
      </c>
      <c r="C164" s="46" t="s">
        <v>230</v>
      </c>
      <c r="D164" s="829">
        <v>0.87046841000000019</v>
      </c>
      <c r="E164" s="829"/>
      <c r="F164" s="829"/>
      <c r="G164" s="829"/>
      <c r="H164" s="829"/>
    </row>
    <row r="165" spans="1:16">
      <c r="A165" s="3">
        <v>7</v>
      </c>
      <c r="B165" s="979" t="s">
        <v>251</v>
      </c>
      <c r="C165" s="46" t="s">
        <v>230</v>
      </c>
      <c r="D165" s="829">
        <v>0</v>
      </c>
      <c r="E165" s="829"/>
      <c r="F165" s="829"/>
      <c r="G165" s="829"/>
      <c r="H165" s="829"/>
    </row>
    <row r="166" spans="1:16">
      <c r="A166" s="3">
        <v>8</v>
      </c>
      <c r="B166" s="359" t="s">
        <v>251</v>
      </c>
      <c r="C166" s="46" t="s">
        <v>230</v>
      </c>
      <c r="D166" s="829">
        <v>0</v>
      </c>
      <c r="E166" s="829"/>
      <c r="F166" s="829"/>
      <c r="G166" s="829"/>
      <c r="H166" s="829"/>
    </row>
    <row r="167" spans="1:16">
      <c r="A167" s="3">
        <v>9</v>
      </c>
      <c r="B167" s="359" t="s">
        <v>251</v>
      </c>
      <c r="C167" s="46" t="s">
        <v>230</v>
      </c>
      <c r="D167" s="829">
        <v>0</v>
      </c>
      <c r="E167" s="829"/>
      <c r="F167" s="829"/>
      <c r="G167" s="829"/>
      <c r="H167" s="829"/>
    </row>
    <row r="168" spans="1:16">
      <c r="A168" s="3">
        <v>10</v>
      </c>
      <c r="B168" s="359" t="s">
        <v>251</v>
      </c>
      <c r="C168" s="46" t="s">
        <v>230</v>
      </c>
      <c r="D168" s="829">
        <v>0</v>
      </c>
      <c r="E168" s="829"/>
      <c r="F168" s="829"/>
      <c r="G168" s="829"/>
      <c r="H168" s="829"/>
    </row>
    <row r="169" spans="1:16">
      <c r="A169" s="3">
        <v>11</v>
      </c>
      <c r="B169" s="359" t="s">
        <v>251</v>
      </c>
      <c r="C169" s="46" t="s">
        <v>230</v>
      </c>
      <c r="D169" s="829">
        <v>0</v>
      </c>
      <c r="E169" s="829"/>
      <c r="F169" s="829"/>
      <c r="G169" s="829"/>
      <c r="H169" s="829"/>
    </row>
    <row r="170" spans="1:16">
      <c r="A170" s="3">
        <v>12</v>
      </c>
      <c r="B170" s="359" t="s">
        <v>251</v>
      </c>
      <c r="C170" s="46" t="s">
        <v>230</v>
      </c>
      <c r="D170" s="829">
        <v>0</v>
      </c>
      <c r="E170" s="829"/>
      <c r="F170" s="829"/>
      <c r="G170" s="829"/>
      <c r="H170" s="829"/>
    </row>
    <row r="171" spans="1:16">
      <c r="A171" s="3">
        <v>13</v>
      </c>
      <c r="B171" s="359" t="s">
        <v>251</v>
      </c>
      <c r="C171" s="46" t="s">
        <v>230</v>
      </c>
      <c r="D171" s="829">
        <v>0</v>
      </c>
      <c r="E171" s="829"/>
      <c r="F171" s="829"/>
      <c r="G171" s="829"/>
      <c r="H171" s="829"/>
    </row>
    <row r="172" spans="1:16">
      <c r="A172" s="3">
        <v>14</v>
      </c>
      <c r="B172" s="359" t="s">
        <v>251</v>
      </c>
      <c r="C172" s="46" t="s">
        <v>230</v>
      </c>
      <c r="D172" s="829">
        <v>0</v>
      </c>
      <c r="E172" s="829"/>
      <c r="F172" s="829"/>
      <c r="G172" s="829"/>
      <c r="H172" s="829"/>
      <c r="O172"/>
      <c r="P172"/>
    </row>
    <row r="173" spans="1:16">
      <c r="A173" s="3">
        <v>15</v>
      </c>
      <c r="B173" s="359" t="s">
        <v>251</v>
      </c>
      <c r="C173" s="46" t="s">
        <v>230</v>
      </c>
      <c r="D173" s="829">
        <v>0</v>
      </c>
      <c r="E173" s="829"/>
      <c r="F173" s="829"/>
      <c r="G173" s="829"/>
      <c r="H173" s="829"/>
      <c r="O173"/>
      <c r="P173"/>
    </row>
    <row r="174" spans="1:16">
      <c r="A174" s="3">
        <v>16</v>
      </c>
      <c r="B174" s="359" t="s">
        <v>251</v>
      </c>
      <c r="C174" s="46" t="s">
        <v>230</v>
      </c>
      <c r="D174" s="829">
        <v>0</v>
      </c>
      <c r="E174" s="829"/>
      <c r="F174" s="829"/>
      <c r="G174" s="829"/>
      <c r="H174" s="829"/>
      <c r="O174"/>
      <c r="P174"/>
    </row>
    <row r="175" spans="1:16">
      <c r="A175" s="3">
        <v>17</v>
      </c>
      <c r="B175" s="359" t="s">
        <v>251</v>
      </c>
      <c r="C175" s="46" t="s">
        <v>230</v>
      </c>
      <c r="D175" s="829">
        <v>0</v>
      </c>
      <c r="E175" s="829"/>
      <c r="F175" s="829"/>
      <c r="G175" s="829"/>
      <c r="H175" s="829"/>
      <c r="O175"/>
      <c r="P175"/>
    </row>
    <row r="176" spans="1:16">
      <c r="A176" s="3">
        <v>18</v>
      </c>
      <c r="B176" s="359" t="s">
        <v>251</v>
      </c>
      <c r="C176" s="46" t="s">
        <v>230</v>
      </c>
      <c r="D176" s="829">
        <v>0</v>
      </c>
      <c r="E176" s="829"/>
      <c r="F176" s="829"/>
      <c r="G176" s="829"/>
      <c r="H176" s="829"/>
      <c r="O176"/>
      <c r="P176"/>
    </row>
    <row r="177" spans="1:16">
      <c r="A177" s="3">
        <v>19</v>
      </c>
      <c r="B177" s="359" t="s">
        <v>251</v>
      </c>
      <c r="C177" s="46" t="s">
        <v>230</v>
      </c>
      <c r="D177" s="829">
        <v>0</v>
      </c>
      <c r="E177" s="829"/>
      <c r="F177" s="829"/>
      <c r="G177" s="829"/>
      <c r="H177" s="829"/>
      <c r="O177"/>
      <c r="P177"/>
    </row>
    <row r="178" spans="1:16">
      <c r="A178" s="3">
        <v>20</v>
      </c>
      <c r="B178" s="359" t="s">
        <v>251</v>
      </c>
      <c r="C178" s="46" t="s">
        <v>230</v>
      </c>
      <c r="D178" s="829">
        <v>0</v>
      </c>
      <c r="E178" s="829"/>
      <c r="F178" s="829"/>
      <c r="G178" s="829"/>
      <c r="H178" s="829"/>
      <c r="O178"/>
      <c r="P178"/>
    </row>
    <row r="179" spans="1:16">
      <c r="A179" s="3">
        <v>21</v>
      </c>
      <c r="B179" s="359" t="s">
        <v>251</v>
      </c>
      <c r="C179" s="46" t="s">
        <v>230</v>
      </c>
      <c r="D179" s="829">
        <v>0</v>
      </c>
      <c r="E179" s="829"/>
      <c r="F179" s="829"/>
      <c r="G179" s="829"/>
      <c r="H179" s="829"/>
      <c r="O179"/>
      <c r="P179"/>
    </row>
    <row r="180" spans="1:16">
      <c r="A180" s="3">
        <v>22</v>
      </c>
      <c r="B180" s="359" t="s">
        <v>251</v>
      </c>
      <c r="C180" s="46" t="s">
        <v>230</v>
      </c>
      <c r="D180" s="829">
        <v>0</v>
      </c>
      <c r="E180" s="829"/>
      <c r="F180" s="829"/>
      <c r="G180" s="829"/>
      <c r="H180" s="829"/>
      <c r="O180"/>
      <c r="P180"/>
    </row>
    <row r="181" spans="1:16">
      <c r="A181" s="3">
        <v>23</v>
      </c>
      <c r="B181" s="359" t="s">
        <v>251</v>
      </c>
      <c r="C181" s="46" t="s">
        <v>230</v>
      </c>
      <c r="D181" s="829">
        <v>0</v>
      </c>
      <c r="E181" s="829"/>
      <c r="F181" s="829"/>
      <c r="G181" s="829"/>
      <c r="H181" s="829"/>
      <c r="O181"/>
      <c r="P181"/>
    </row>
    <row r="182" spans="1:16">
      <c r="A182" s="3">
        <v>24</v>
      </c>
      <c r="B182" s="359" t="s">
        <v>251</v>
      </c>
      <c r="C182" s="46" t="s">
        <v>230</v>
      </c>
      <c r="D182" s="829">
        <v>0</v>
      </c>
      <c r="E182" s="829"/>
      <c r="F182" s="829"/>
      <c r="G182" s="829"/>
      <c r="H182" s="829"/>
      <c r="O182" s="340"/>
      <c r="P182"/>
    </row>
    <row r="183" spans="1:16">
      <c r="A183" s="3">
        <v>25</v>
      </c>
      <c r="B183" s="359" t="s">
        <v>251</v>
      </c>
      <c r="C183" s="46" t="s">
        <v>230</v>
      </c>
      <c r="D183" s="829">
        <v>0</v>
      </c>
      <c r="E183" s="829"/>
      <c r="F183" s="829"/>
      <c r="G183" s="829"/>
      <c r="H183" s="829"/>
      <c r="O183"/>
      <c r="P183"/>
    </row>
    <row r="184" spans="1:16">
      <c r="B184" s="5" t="s">
        <v>333</v>
      </c>
      <c r="C184" s="46" t="s">
        <v>230</v>
      </c>
      <c r="D184" s="824">
        <f>SUM(D159:D183)</f>
        <v>152.43876828000001</v>
      </c>
      <c r="E184" s="824">
        <f t="shared" ref="E184:H184" si="57">SUM(E159:E183)</f>
        <v>0</v>
      </c>
      <c r="F184" s="824">
        <f t="shared" si="57"/>
        <v>0</v>
      </c>
      <c r="G184" s="824">
        <f t="shared" si="57"/>
        <v>0</v>
      </c>
      <c r="H184" s="824">
        <f t="shared" si="57"/>
        <v>0</v>
      </c>
      <c r="I184" s="570"/>
      <c r="O184"/>
      <c r="P184"/>
    </row>
    <row r="185" spans="1:16">
      <c r="B185" s="2"/>
      <c r="D185" s="819"/>
      <c r="E185" s="819"/>
      <c r="F185" s="819"/>
      <c r="G185" s="819"/>
      <c r="H185" s="819"/>
      <c r="I185" s="42"/>
      <c r="J185" s="42"/>
      <c r="O185"/>
      <c r="P185"/>
    </row>
    <row r="186" spans="1:16">
      <c r="B186" s="5" t="s">
        <v>334</v>
      </c>
      <c r="C186" s="46" t="s">
        <v>230</v>
      </c>
      <c r="D186" s="824">
        <f>D152-D184</f>
        <v>317.84027468080797</v>
      </c>
      <c r="E186" s="824">
        <f t="shared" ref="E186:H186" si="58">E152-E184</f>
        <v>0</v>
      </c>
      <c r="F186" s="824">
        <f t="shared" si="58"/>
        <v>0</v>
      </c>
      <c r="G186" s="824">
        <f t="shared" si="58"/>
        <v>0</v>
      </c>
      <c r="H186" s="824">
        <f t="shared" si="58"/>
        <v>0</v>
      </c>
      <c r="I186" s="570"/>
    </row>
    <row r="187" spans="1:16">
      <c r="B187" s="5" t="s">
        <v>335</v>
      </c>
      <c r="C187" s="46" t="s">
        <v>230</v>
      </c>
      <c r="D187" s="843">
        <f>('R3 - Totex - Reconciliation'!D$13+'R3 - Totex - Reconciliation'!D$42+'R3 - Totex - Reconciliation'!D71)*INDEX(real_to_nominal_CF,MATCH(D$104,calendar_year,0))</f>
        <v>317.83934655031908</v>
      </c>
      <c r="E187" s="843">
        <f>('R3 - Totex - Reconciliation'!E$13+'R3 - Totex - Reconciliation'!E$42+'R3 - Totex - Reconciliation'!E71)*INDEX(real_to_nominal_CF,MATCH(E$104,calendar_year,0))</f>
        <v>484.00727639864124</v>
      </c>
      <c r="F187" s="843">
        <f>('R3 - Totex - Reconciliation'!F$13+'R3 - Totex - Reconciliation'!F$42+'R3 - Totex - Reconciliation'!F71)*INDEX(real_to_nominal_CF,MATCH(F$104,calendar_year,0))</f>
        <v>565.39108287490308</v>
      </c>
      <c r="G187" s="843">
        <f>('R3 - Totex - Reconciliation'!G$13+'R3 - Totex - Reconciliation'!G$42+'R3 - Totex - Reconciliation'!G71)*INDEX(real_to_nominal_CF,MATCH(G$104,calendar_year,0))</f>
        <v>385.46049578204361</v>
      </c>
      <c r="H187" s="843">
        <f>('R3 - Totex - Reconciliation'!H$13+'R3 - Totex - Reconciliation'!H$42+'R3 - Totex - Reconciliation'!H71)*INDEX(real_to_nominal_CF,MATCH(H$104,calendar_year,0))</f>
        <v>335.23969077846175</v>
      </c>
    </row>
    <row r="188" spans="1:16">
      <c r="B188" s="983"/>
      <c r="C188" s="42" t="s">
        <v>331</v>
      </c>
      <c r="D188" s="844" t="str">
        <f>IF(D$103="Actuals",IF(ABS(D184-('R3 - Totex - Reconciliation'!D13+'R3 - Totex - Reconciliation'!D42+D71)*INDEX(real_to_nominal_CF,MATCH(D6,Data!$E$25:$L$25,0)))&lt;materiality_threshold,"OK","Error"),"N/A")</f>
        <v>Error</v>
      </c>
      <c r="E188" s="844" t="str">
        <f>IF(E$103="Actuals",IF(ABS(E184-('R3 - Totex - Reconciliation'!E13+'R3 - Totex - Reconciliation'!E42+E71)*INDEX(real_to_nominal_CF,MATCH(E6,Data!$E$25:$L$25,0)))&lt;materiality_threshold,"OK","Error"),"N/A")</f>
        <v>N/A</v>
      </c>
      <c r="F188" s="844" t="str">
        <f>IF(F$103="Actuals",IF(ABS(F184-('R3 - Totex - Reconciliation'!F13+'R3 - Totex - Reconciliation'!F42+F71)*INDEX(real_to_nominal_CF,MATCH(F6,Data!$E$25:$L$25,0)))&lt;materiality_threshold,"OK","Error"),"N/A")</f>
        <v>N/A</v>
      </c>
      <c r="G188" s="844" t="str">
        <f>IF(G$103="Actuals",IF(ABS(G184-('R3 - Totex - Reconciliation'!G13+'R3 - Totex - Reconciliation'!G42+G71)*INDEX(real_to_nominal_CF,MATCH(G6,Data!$E$25:$L$25,0)))&lt;materiality_threshold,"OK","Error"),"N/A")</f>
        <v>N/A</v>
      </c>
      <c r="H188" s="844" t="str">
        <f>IF(H$103="Actuals",IF(ABS(H184-('R3 - Totex - Reconciliation'!H13+'R3 - Totex - Reconciliation'!H42+H71)*INDEX(real_to_nominal_CF,MATCH(H6,Data!$E$25:$L$25,0)))&lt;materiality_threshold,"OK","Error"),"N/A")</f>
        <v>N/A</v>
      </c>
    </row>
    <row r="189" spans="1:16">
      <c r="B189" s="2"/>
      <c r="C189" s="2"/>
      <c r="D189" s="983"/>
    </row>
    <row r="190" spans="1:16">
      <c r="B190" s="340" t="s">
        <v>336</v>
      </c>
    </row>
    <row r="192" spans="1:16">
      <c r="B192" s="6" t="s">
        <v>282</v>
      </c>
      <c r="C192"/>
      <c r="D192"/>
      <c r="E192"/>
      <c r="F192"/>
    </row>
    <row r="193" spans="2:16">
      <c r="B193" s="1044" t="s">
        <v>1088</v>
      </c>
      <c r="C193" s="1045"/>
      <c r="D193" s="1045"/>
      <c r="E193" s="1045"/>
      <c r="F193" s="1046"/>
    </row>
    <row r="194" spans="2:16" ht="29.25" customHeight="1">
      <c r="B194" s="1034" t="s">
        <v>1121</v>
      </c>
      <c r="C194" s="1035"/>
      <c r="D194" s="1035"/>
      <c r="E194" s="1035"/>
      <c r="F194" s="1036"/>
    </row>
    <row r="195" spans="2:16" ht="9" customHeight="1">
      <c r="B195" s="1034"/>
      <c r="C195" s="1035"/>
      <c r="D195" s="1035"/>
      <c r="E195" s="1035"/>
      <c r="F195" s="1036"/>
    </row>
    <row r="196" spans="2:16" ht="28.5" customHeight="1">
      <c r="B196" s="1034" t="s">
        <v>1122</v>
      </c>
      <c r="C196" s="1035"/>
      <c r="D196" s="1035"/>
      <c r="E196" s="1035"/>
      <c r="F196" s="1036"/>
    </row>
    <row r="197" spans="2:16" ht="9.65" customHeight="1">
      <c r="B197" s="1034"/>
      <c r="C197" s="1035"/>
      <c r="D197" s="1035"/>
      <c r="E197" s="1035"/>
      <c r="F197" s="1036"/>
      <c r="O197"/>
      <c r="P197"/>
    </row>
    <row r="198" spans="2:16" ht="351.75" customHeight="1">
      <c r="B198" s="1043" t="s">
        <v>1090</v>
      </c>
      <c r="C198" s="1035"/>
      <c r="D198" s="1035"/>
      <c r="E198" s="1035"/>
      <c r="F198" s="1036"/>
    </row>
    <row r="199" spans="2:16" ht="108.65" customHeight="1">
      <c r="B199" s="1040" t="s">
        <v>1091</v>
      </c>
      <c r="C199" s="1041"/>
      <c r="D199" s="1041"/>
      <c r="E199" s="1041"/>
      <c r="F199" s="1042"/>
    </row>
    <row r="201" spans="2:16" ht="329.5" customHeight="1">
      <c r="B201" s="985"/>
      <c r="C201" s="31"/>
      <c r="D201" s="984"/>
      <c r="E201" s="984"/>
      <c r="F201" s="984"/>
    </row>
    <row r="202" spans="2:16">
      <c r="B202" s="984"/>
      <c r="C202" s="31"/>
      <c r="D202" s="984"/>
      <c r="E202" s="984"/>
      <c r="F202" s="984"/>
    </row>
    <row r="203" spans="2:16">
      <c r="B203" s="984"/>
      <c r="C203" s="31"/>
      <c r="D203" s="984"/>
      <c r="E203" s="984"/>
      <c r="F203" s="984"/>
    </row>
    <row r="204" spans="2:16">
      <c r="B204" s="984"/>
      <c r="C204" s="31"/>
      <c r="D204" s="984"/>
      <c r="E204" s="984"/>
      <c r="F204" s="984"/>
    </row>
    <row r="205" spans="2:16">
      <c r="B205" s="984"/>
      <c r="C205" s="31"/>
      <c r="D205" s="984"/>
      <c r="E205" s="984"/>
      <c r="F205" s="984"/>
    </row>
    <row r="216" s="2" customFormat="1"/>
    <row r="217" s="2" customFormat="1"/>
    <row r="218" s="2" customFormat="1"/>
    <row r="219" s="2" customFormat="1"/>
    <row r="220" s="2" customFormat="1"/>
    <row r="221" s="2" customFormat="1"/>
    <row r="222" s="2" customFormat="1"/>
    <row r="223" s="2" customFormat="1"/>
    <row r="227" ht="12.75" customHeight="1"/>
    <row r="234" ht="29.25" customHeight="1"/>
  </sheetData>
  <sheetProtection algorithmName="SHA-512" hashValue="mtM9uVyOLCJ1qBbWtRnazUGdLNlgcdijVOL3xdjYr3VMSZWpINhcb4SXB4QjqRP5kld1gWSlTMBJZJFu2MPAWA==" saltValue="9NDWARcjnNxXVnptmofziA==" spinCount="100000" sheet="1" objects="1" scenarios="1"/>
  <mergeCells count="8">
    <mergeCell ref="B199:F199"/>
    <mergeCell ref="B197:F197"/>
    <mergeCell ref="B198:F198"/>
    <mergeCell ref="K15:M15"/>
    <mergeCell ref="B193:F193"/>
    <mergeCell ref="B194:F194"/>
    <mergeCell ref="B195:F195"/>
    <mergeCell ref="B196:F196"/>
  </mergeCells>
  <phoneticPr fontId="265" type="noConversion"/>
  <conditionalFormatting sqref="I5 D5:G6">
    <cfRule type="expression" dxfId="80" priority="84">
      <formula>AND(D$5="Actuals",E$5="Forecast")</formula>
    </cfRule>
  </conditionalFormatting>
  <conditionalFormatting sqref="B92:C92 C40 C69 B68:C68 B41:C49 B70:C79 N68:Q68">
    <cfRule type="expression" dxfId="79" priority="80">
      <formula>$B$40="n/a"</formula>
    </cfRule>
  </conditionalFormatting>
  <conditionalFormatting sqref="H5:H6">
    <cfRule type="expression" dxfId="78" priority="285">
      <formula>AND(H$5="Actuals",#REF!="Forecast")</formula>
    </cfRule>
  </conditionalFormatting>
  <conditionalFormatting sqref="D7:H7">
    <cfRule type="expression" dxfId="77" priority="69">
      <formula>AND(D$5="Actuals",E$5="Forecast")</formula>
    </cfRule>
  </conditionalFormatting>
  <conditionalFormatting sqref="C23:C24">
    <cfRule type="expression" dxfId="76" priority="65">
      <formula>$B$40="n/a"</formula>
    </cfRule>
  </conditionalFormatting>
  <conditionalFormatting sqref="C52:C53">
    <cfRule type="expression" dxfId="75" priority="64">
      <formula>$B$40="n/a"</formula>
    </cfRule>
  </conditionalFormatting>
  <conditionalFormatting sqref="C25">
    <cfRule type="expression" dxfId="74" priority="63">
      <formula>$B$40="n/a"</formula>
    </cfRule>
  </conditionalFormatting>
  <conditionalFormatting sqref="C54">
    <cfRule type="expression" dxfId="73" priority="62">
      <formula>$B$40="n/a"</formula>
    </cfRule>
  </conditionalFormatting>
  <conditionalFormatting sqref="C81:C82">
    <cfRule type="expression" dxfId="72" priority="61">
      <formula>$B$40="n/a"</formula>
    </cfRule>
  </conditionalFormatting>
  <conditionalFormatting sqref="C83">
    <cfRule type="expression" dxfId="71" priority="60">
      <formula>$B$40="n/a"</formula>
    </cfRule>
  </conditionalFormatting>
  <conditionalFormatting sqref="B35">
    <cfRule type="expression" dxfId="70" priority="59">
      <formula>$B$46="n/a"</formula>
    </cfRule>
  </conditionalFormatting>
  <conditionalFormatting sqref="B64">
    <cfRule type="expression" dxfId="69" priority="58">
      <formula>$B$46="n/a"</formula>
    </cfRule>
  </conditionalFormatting>
  <conditionalFormatting sqref="B88">
    <cfRule type="expression" dxfId="68" priority="57">
      <formula>$B$46="n/a"</formula>
    </cfRule>
  </conditionalFormatting>
  <conditionalFormatting sqref="C32:C33">
    <cfRule type="expression" dxfId="67" priority="21">
      <formula>$B$39="n/a"</formula>
    </cfRule>
  </conditionalFormatting>
  <conditionalFormatting sqref="C61:C62">
    <cfRule type="expression" dxfId="66" priority="20">
      <formula>$B$39="n/a"</formula>
    </cfRule>
  </conditionalFormatting>
  <conditionalFormatting sqref="C85:C86">
    <cfRule type="expression" dxfId="65" priority="19">
      <formula>$B$39="n/a"</formula>
    </cfRule>
  </conditionalFormatting>
  <conditionalFormatting sqref="C28:C29">
    <cfRule type="expression" dxfId="64" priority="17">
      <formula>$B$40="n/a"</formula>
    </cfRule>
  </conditionalFormatting>
  <conditionalFormatting sqref="C30">
    <cfRule type="expression" dxfId="63" priority="16">
      <formula>$B$40="n/a"</formula>
    </cfRule>
  </conditionalFormatting>
  <conditionalFormatting sqref="C57:C58">
    <cfRule type="expression" dxfId="62" priority="15">
      <formula>$B$40="n/a"</formula>
    </cfRule>
  </conditionalFormatting>
  <conditionalFormatting sqref="C59">
    <cfRule type="expression" dxfId="61" priority="14">
      <formula>$B$40="n/a"</formula>
    </cfRule>
  </conditionalFormatting>
  <conditionalFormatting sqref="D103:G104">
    <cfRule type="expression" dxfId="60" priority="12">
      <formula>AND(D$5="Actuals",E$5="N/A")</formula>
    </cfRule>
  </conditionalFormatting>
  <conditionalFormatting sqref="H103:H104">
    <cfRule type="expression" dxfId="59" priority="13">
      <formula>AND(H$5="Actuals",#REF!="N/A")</formula>
    </cfRule>
  </conditionalFormatting>
  <conditionalFormatting sqref="D105:H105">
    <cfRule type="expression" dxfId="58" priority="11">
      <formula>AND(D$5="Actuals",E$5="Forecast")</formula>
    </cfRule>
  </conditionalFormatting>
  <conditionalFormatting sqref="D108:H116 D118:H121 D127:H140 D143:H148 D157:H181 D165:D183">
    <cfRule type="expression" dxfId="57" priority="10">
      <formula>D$103="N/A"</formula>
    </cfRule>
  </conditionalFormatting>
  <conditionalFormatting sqref="E117:H117">
    <cfRule type="expression" dxfId="56" priority="9">
      <formula>E$103="N/A"</formula>
    </cfRule>
  </conditionalFormatting>
  <conditionalFormatting sqref="D122:H123">
    <cfRule type="expression" dxfId="55" priority="8">
      <formula>D$103="N/A"</formula>
    </cfRule>
  </conditionalFormatting>
  <conditionalFormatting sqref="D150:H150">
    <cfRule type="expression" dxfId="54" priority="7">
      <formula>D$103="N/A"</formula>
    </cfRule>
  </conditionalFormatting>
  <conditionalFormatting sqref="D152:H152">
    <cfRule type="expression" dxfId="53" priority="6">
      <formula>D$103="N/A"</formula>
    </cfRule>
  </conditionalFormatting>
  <conditionalFormatting sqref="D182:H183">
    <cfRule type="expression" dxfId="52" priority="5">
      <formula>D$103="N/A"</formula>
    </cfRule>
  </conditionalFormatting>
  <conditionalFormatting sqref="D184:H184">
    <cfRule type="expression" dxfId="51" priority="4">
      <formula>D$103="N/A"</formula>
    </cfRule>
  </conditionalFormatting>
  <conditionalFormatting sqref="D153:H154">
    <cfRule type="expression" dxfId="50" priority="3">
      <formula>D$103="N/A"</formula>
    </cfRule>
  </conditionalFormatting>
  <conditionalFormatting sqref="D141:H141">
    <cfRule type="expression" dxfId="49" priority="2">
      <formula>D$103="N/A"</formula>
    </cfRule>
  </conditionalFormatting>
  <conditionalFormatting sqref="D149:H149">
    <cfRule type="expression" dxfId="48" priority="1">
      <formula>D$103="N/A"</formula>
    </cfRule>
  </conditionalFormatting>
  <pageMargins left="0.70866141732283472" right="0.70866141732283472" top="0.74803149606299213" bottom="0.74803149606299213" header="0.31496062992125984" footer="0.31496062992125984"/>
  <pageSetup paperSize="8" scale="53" orientation="landscape" r:id="rId1"/>
  <headerFooter>
    <oddFooter>&amp;C_x000D_&amp;1#&amp;"Calibri"&amp;10&amp;K000000 OFFICIAL-InternalOnly</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CC"/>
    <pageSetUpPr fitToPage="1"/>
  </sheetPr>
  <dimension ref="A1:M78"/>
  <sheetViews>
    <sheetView showGridLines="0" zoomScaleNormal="100" workbookViewId="0">
      <pane ySplit="7" topLeftCell="A53" activePane="bottomLeft" state="frozen"/>
      <selection pane="bottomLeft"/>
    </sheetView>
  </sheetViews>
  <sheetFormatPr defaultRowHeight="13.5"/>
  <cols>
    <col min="1" max="1" width="8.3828125" customWidth="1"/>
    <col min="2" max="2" width="71.3828125" bestFit="1" customWidth="1"/>
    <col min="3" max="3" width="13.3828125" style="42" customWidth="1"/>
    <col min="4" max="8" width="11.15234375" customWidth="1"/>
    <col min="9" max="9" width="12.84375" customWidth="1"/>
    <col min="10" max="10" width="12.765625" customWidth="1"/>
    <col min="11" max="11" width="5.765625" bestFit="1" customWidth="1"/>
  </cols>
  <sheetData>
    <row r="1" spans="1:11" ht="20">
      <c r="A1" s="685" t="s">
        <v>337</v>
      </c>
      <c r="B1" s="387"/>
      <c r="C1" s="388"/>
      <c r="D1" s="389"/>
      <c r="E1" s="389"/>
      <c r="F1" s="389"/>
      <c r="G1" s="389"/>
      <c r="H1" s="389"/>
      <c r="I1" s="383"/>
      <c r="J1" s="383"/>
      <c r="K1" s="684"/>
    </row>
    <row r="2" spans="1:11" ht="20">
      <c r="A2" s="295" t="str">
        <f>Licensee</f>
        <v>NGGT (TO)</v>
      </c>
      <c r="B2" s="299"/>
      <c r="C2" s="47"/>
      <c r="D2" s="19"/>
      <c r="E2" s="19"/>
      <c r="F2" s="19"/>
      <c r="G2" s="19"/>
      <c r="H2" s="19"/>
      <c r="I2" s="14"/>
      <c r="J2" s="14"/>
      <c r="K2" s="38"/>
    </row>
    <row r="3" spans="1:11" ht="20">
      <c r="A3" s="534">
        <f>Reporting_Year</f>
        <v>2022</v>
      </c>
      <c r="B3" s="524" t="str">
        <f>IF(Licensee=Data!$B$81,"not required to be completed","")</f>
        <v/>
      </c>
      <c r="C3" s="531"/>
      <c r="D3" s="532"/>
      <c r="E3" s="532"/>
      <c r="F3" s="532"/>
      <c r="G3" s="532"/>
      <c r="H3" s="532"/>
      <c r="I3" s="525"/>
      <c r="J3" s="525"/>
      <c r="K3" s="68"/>
    </row>
    <row r="4" spans="1:11" s="2" customFormat="1" ht="12.75" customHeight="1">
      <c r="B4" s="3"/>
      <c r="C4" s="42"/>
    </row>
    <row r="5" spans="1:11" s="2" customFormat="1" ht="21.65" customHeight="1">
      <c r="B5" s="3"/>
      <c r="C5" s="42"/>
      <c r="D5" s="512" t="str">
        <f t="shared" ref="D5:I5" si="0">IF(D6&lt;=Reporting_Year,"Actuals","Forecast")</f>
        <v>Actuals</v>
      </c>
      <c r="E5" s="512" t="str">
        <f t="shared" si="0"/>
        <v>Forecast</v>
      </c>
      <c r="F5" s="512" t="str">
        <f t="shared" si="0"/>
        <v>Forecast</v>
      </c>
      <c r="G5" s="512" t="str">
        <f t="shared" si="0"/>
        <v>Forecast</v>
      </c>
      <c r="H5" s="512" t="str">
        <f t="shared" si="0"/>
        <v>Forecast</v>
      </c>
      <c r="I5" s="512" t="str">
        <f t="shared" si="0"/>
        <v>Forecast</v>
      </c>
    </row>
    <row r="6" spans="1:11" s="2" customFormat="1" ht="29.25" customHeight="1">
      <c r="C6" s="42"/>
      <c r="D6" s="401">
        <f>'RFPR cover'!$C$6</f>
        <v>2022</v>
      </c>
      <c r="E6" s="401">
        <f>D6+1</f>
        <v>2023</v>
      </c>
      <c r="F6" s="401">
        <f t="shared" ref="F6:H6" si="1">E6+1</f>
        <v>2024</v>
      </c>
      <c r="G6" s="401">
        <f t="shared" si="1"/>
        <v>2025</v>
      </c>
      <c r="H6" s="401">
        <f t="shared" si="1"/>
        <v>2026</v>
      </c>
      <c r="I6" s="696" t="str">
        <f>"Cumulative to "&amp;'RFPR cover'!$C$9</f>
        <v>Cumulative to 2022</v>
      </c>
      <c r="J6" s="696" t="s">
        <v>191</v>
      </c>
    </row>
    <row r="7" spans="1:11" s="2" customFormat="1">
      <c r="C7" s="42"/>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row>
    <row r="8" spans="1:11" s="2" customFormat="1" ht="17.5">
      <c r="B8" s="412" t="s">
        <v>338</v>
      </c>
      <c r="C8" s="44"/>
      <c r="D8" s="33"/>
      <c r="E8" s="33"/>
      <c r="F8" s="33"/>
      <c r="G8" s="33"/>
      <c r="H8" s="33"/>
      <c r="I8" s="33"/>
      <c r="J8" s="33"/>
      <c r="K8" s="33"/>
    </row>
    <row r="9" spans="1:11" s="2" customFormat="1"/>
    <row r="10" spans="1:11" s="2" customFormat="1"/>
    <row r="11" spans="1:11" s="2" customFormat="1"/>
    <row r="12" spans="1:11" s="2" customFormat="1">
      <c r="A12" s="49" t="s">
        <v>195</v>
      </c>
      <c r="B12" s="5" t="s">
        <v>339</v>
      </c>
      <c r="C12" s="31" t="str">
        <f>Data!$C$9</f>
        <v>£m 18/19</v>
      </c>
      <c r="D12" s="913">
        <v>-4.3390000000000004</v>
      </c>
      <c r="E12" s="913">
        <v>-4.3390000000000004</v>
      </c>
      <c r="F12" s="913">
        <v>-4.3390000000000004</v>
      </c>
      <c r="G12" s="913">
        <v>-4.3390000000000004</v>
      </c>
      <c r="H12" s="913">
        <v>-4.3390000000000004</v>
      </c>
    </row>
    <row r="13" spans="1:11" s="2" customFormat="1" ht="19.5" customHeight="1">
      <c r="A13" s="49"/>
      <c r="B13" s="329" t="s">
        <v>340</v>
      </c>
      <c r="D13" s="827"/>
      <c r="E13" s="827"/>
      <c r="F13" s="827"/>
      <c r="G13" s="827"/>
      <c r="H13" s="827"/>
    </row>
    <row r="14" spans="1:11" s="2" customFormat="1">
      <c r="A14" s="49" t="s">
        <v>196</v>
      </c>
      <c r="B14" s="469" t="str">
        <f>Data!B124</f>
        <v>Customer satisfaction survey ODI</v>
      </c>
      <c r="C14" s="31" t="str">
        <f>Data!$C$9</f>
        <v>£m 18/19</v>
      </c>
      <c r="D14" s="913">
        <v>3.645</v>
      </c>
      <c r="E14" s="913">
        <v>3.645</v>
      </c>
      <c r="F14" s="913">
        <v>3.645</v>
      </c>
      <c r="G14" s="913">
        <v>3.645</v>
      </c>
      <c r="H14" s="913">
        <v>3.645</v>
      </c>
    </row>
    <row r="15" spans="1:11" s="2" customFormat="1">
      <c r="A15" s="49" t="s">
        <v>197</v>
      </c>
      <c r="B15" s="469" t="str">
        <f>Data!B125</f>
        <v>Environmental scorecard ODI</v>
      </c>
      <c r="C15" s="31" t="str">
        <f>Data!$C$9</f>
        <v>£m 18/19</v>
      </c>
      <c r="D15" s="913">
        <v>5.1846366000000019E-2</v>
      </c>
      <c r="E15" s="913">
        <v>0.12</v>
      </c>
      <c r="F15" s="913">
        <v>0.12</v>
      </c>
      <c r="G15" s="913">
        <v>0.12</v>
      </c>
      <c r="H15" s="913">
        <v>0.12</v>
      </c>
    </row>
    <row r="16" spans="1:11" s="2" customFormat="1">
      <c r="A16" s="49" t="s">
        <v>198</v>
      </c>
      <c r="B16" s="469" t="str">
        <f>Data!B126</f>
        <v/>
      </c>
      <c r="C16" s="31" t="str">
        <f>Data!$C$9</f>
        <v>£m 18/19</v>
      </c>
      <c r="D16" s="913">
        <v>0</v>
      </c>
      <c r="E16" s="913">
        <v>0</v>
      </c>
      <c r="F16" s="913">
        <v>0</v>
      </c>
      <c r="G16" s="913">
        <v>0</v>
      </c>
      <c r="H16" s="913">
        <v>0</v>
      </c>
    </row>
    <row r="17" spans="1:11" s="2" customFormat="1">
      <c r="A17" s="49" t="s">
        <v>199</v>
      </c>
      <c r="B17" s="469" t="str">
        <f>Data!B127</f>
        <v/>
      </c>
      <c r="C17" s="31" t="str">
        <f>Data!$C$9</f>
        <v>£m 18/19</v>
      </c>
      <c r="D17" s="913">
        <v>0</v>
      </c>
      <c r="E17" s="913">
        <v>0</v>
      </c>
      <c r="F17" s="913">
        <v>0</v>
      </c>
      <c r="G17" s="913">
        <v>0</v>
      </c>
      <c r="H17" s="913">
        <v>0</v>
      </c>
    </row>
    <row r="18" spans="1:11" s="2" customFormat="1">
      <c r="A18" s="49" t="s">
        <v>200</v>
      </c>
      <c r="B18" s="469" t="str">
        <f>Data!B128</f>
        <v/>
      </c>
      <c r="C18" s="31" t="str">
        <f>Data!$C$9</f>
        <v>£m 18/19</v>
      </c>
      <c r="D18" s="913">
        <v>0</v>
      </c>
      <c r="E18" s="913">
        <v>0</v>
      </c>
      <c r="F18" s="913">
        <v>0</v>
      </c>
      <c r="G18" s="913">
        <v>0</v>
      </c>
      <c r="H18" s="913">
        <v>0</v>
      </c>
    </row>
    <row r="19" spans="1:11" s="2" customFormat="1">
      <c r="A19" s="49" t="s">
        <v>201</v>
      </c>
      <c r="B19" s="469" t="str">
        <f>Data!B129</f>
        <v/>
      </c>
      <c r="C19" s="31" t="str">
        <f>Data!$C$9</f>
        <v>£m 18/19</v>
      </c>
      <c r="D19" s="913">
        <v>0</v>
      </c>
      <c r="E19" s="913">
        <v>0</v>
      </c>
      <c r="F19" s="913">
        <v>0</v>
      </c>
      <c r="G19" s="913">
        <v>0</v>
      </c>
      <c r="H19" s="913">
        <v>0</v>
      </c>
    </row>
    <row r="20" spans="1:11" s="2" customFormat="1">
      <c r="B20" s="5" t="s">
        <v>341</v>
      </c>
      <c r="C20" s="48" t="str">
        <f>Data!$C$9</f>
        <v>£m 18/19</v>
      </c>
      <c r="D20" s="839">
        <f>SUM(D14:D19)</f>
        <v>3.6968463659999999</v>
      </c>
      <c r="E20" s="839">
        <f>SUM(E14:E19)</f>
        <v>3.7650000000000001</v>
      </c>
      <c r="F20" s="839">
        <f>SUM(F14:F19)</f>
        <v>3.7650000000000001</v>
      </c>
      <c r="G20" s="839">
        <f>SUM(G14:G19)</f>
        <v>3.7650000000000001</v>
      </c>
      <c r="H20" s="839">
        <f>SUM(H14:H19)</f>
        <v>3.7650000000000001</v>
      </c>
    </row>
    <row r="21" spans="1:11" s="2" customFormat="1"/>
    <row r="22" spans="1:11" s="232" customFormat="1" ht="14.25" customHeight="1">
      <c r="A22" s="231"/>
    </row>
    <row r="23" spans="1:11" s="2" customFormat="1">
      <c r="A23" s="397"/>
      <c r="B23" s="398" t="s">
        <v>342</v>
      </c>
      <c r="C23" s="399"/>
      <c r="D23" s="399"/>
      <c r="E23" s="399"/>
      <c r="F23" s="399"/>
      <c r="G23" s="399"/>
      <c r="H23" s="399"/>
      <c r="I23" s="399"/>
      <c r="J23" s="399"/>
    </row>
    <row r="24" spans="1:11" s="2" customFormat="1">
      <c r="A24" s="400" t="s">
        <v>195</v>
      </c>
      <c r="B24" s="1047"/>
      <c r="C24" s="1047"/>
      <c r="D24" s="1047"/>
      <c r="E24" s="1047"/>
      <c r="F24" s="1047"/>
      <c r="G24" s="1047"/>
      <c r="H24" s="1047"/>
      <c r="I24" s="1047"/>
      <c r="J24" s="1047"/>
    </row>
    <row r="25" spans="1:11" s="2" customFormat="1">
      <c r="A25" s="400" t="s">
        <v>196</v>
      </c>
      <c r="B25" s="1050" t="s">
        <v>956</v>
      </c>
      <c r="C25" s="1050"/>
      <c r="D25" s="1050"/>
      <c r="E25" s="1050"/>
      <c r="F25" s="1050"/>
      <c r="G25" s="1050"/>
      <c r="H25" s="1050"/>
      <c r="I25" s="1050"/>
      <c r="J25" s="1050"/>
    </row>
    <row r="26" spans="1:11" s="2" customFormat="1">
      <c r="A26" s="400" t="s">
        <v>197</v>
      </c>
      <c r="B26" s="1050" t="s">
        <v>957</v>
      </c>
      <c r="C26" s="1050"/>
      <c r="D26" s="1050"/>
      <c r="E26" s="1050"/>
      <c r="F26" s="1050"/>
      <c r="G26" s="1050"/>
      <c r="H26" s="1050"/>
      <c r="I26" s="1050"/>
      <c r="J26" s="1050"/>
    </row>
    <row r="27" spans="1:11" s="2" customFormat="1">
      <c r="A27" s="400" t="s">
        <v>198</v>
      </c>
      <c r="B27" s="1047"/>
      <c r="C27" s="1047"/>
      <c r="D27" s="1047"/>
      <c r="E27" s="1047"/>
      <c r="F27" s="1047"/>
      <c r="G27" s="1047"/>
      <c r="H27" s="1047"/>
      <c r="I27" s="1047"/>
      <c r="J27" s="1047"/>
    </row>
    <row r="28" spans="1:11" s="2" customFormat="1">
      <c r="A28" s="400" t="s">
        <v>199</v>
      </c>
      <c r="B28" s="1047"/>
      <c r="C28" s="1047"/>
      <c r="D28" s="1047"/>
      <c r="E28" s="1047"/>
      <c r="F28" s="1047"/>
      <c r="G28" s="1047"/>
      <c r="H28" s="1047"/>
      <c r="I28" s="1047"/>
      <c r="J28" s="1047"/>
    </row>
    <row r="29" spans="1:11" s="2" customFormat="1">
      <c r="A29" s="400" t="s">
        <v>200</v>
      </c>
      <c r="B29" s="1047"/>
      <c r="C29" s="1047"/>
      <c r="D29" s="1047"/>
      <c r="E29" s="1047"/>
      <c r="F29" s="1047"/>
      <c r="G29" s="1047"/>
      <c r="H29" s="1047"/>
      <c r="I29" s="1047"/>
      <c r="J29" s="1047"/>
    </row>
    <row r="30" spans="1:11" s="2" customFormat="1">
      <c r="A30" s="400" t="s">
        <v>201</v>
      </c>
      <c r="B30" s="1047"/>
      <c r="C30" s="1047"/>
      <c r="D30" s="1047"/>
      <c r="E30" s="1047"/>
      <c r="F30" s="1047"/>
      <c r="G30" s="1047"/>
      <c r="H30" s="1047"/>
      <c r="I30" s="1047"/>
      <c r="J30" s="1047"/>
    </row>
    <row r="31" spans="1:11" s="2" customFormat="1">
      <c r="A31" s="49"/>
      <c r="C31" s="31"/>
      <c r="D31" s="31"/>
      <c r="E31" s="31"/>
      <c r="F31" s="31"/>
      <c r="G31" s="31"/>
      <c r="H31" s="31"/>
      <c r="I31" s="31"/>
      <c r="J31" s="31"/>
    </row>
    <row r="32" spans="1:11" s="2" customFormat="1" ht="20.5">
      <c r="B32" s="412" t="s">
        <v>343</v>
      </c>
      <c r="C32" s="44"/>
      <c r="D32" s="33"/>
      <c r="E32" s="33"/>
      <c r="F32" s="33"/>
      <c r="G32" s="33"/>
      <c r="H32" s="33"/>
      <c r="I32" s="33"/>
      <c r="J32" s="33"/>
      <c r="K32" s="33"/>
    </row>
    <row r="33" spans="1:11" s="2" customFormat="1">
      <c r="A33" s="5"/>
      <c r="C33" s="42"/>
    </row>
    <row r="34" spans="1:11">
      <c r="B34" s="428" t="s">
        <v>344</v>
      </c>
    </row>
    <row r="35" spans="1:11">
      <c r="B35" s="5"/>
    </row>
    <row r="36" spans="1:11" s="2" customFormat="1">
      <c r="A36" s="1" t="s">
        <v>202</v>
      </c>
      <c r="B36" s="5" t="s">
        <v>115</v>
      </c>
      <c r="C36" s="43"/>
      <c r="D36" s="25"/>
      <c r="E36" s="25"/>
      <c r="F36" s="25"/>
      <c r="G36" s="25"/>
      <c r="H36" s="25"/>
    </row>
    <row r="37" spans="1:11" s="2" customFormat="1">
      <c r="B37" s="39" t="s">
        <v>345</v>
      </c>
      <c r="C37" s="31" t="str">
        <f>Data!$C$9</f>
        <v>£m 18/19</v>
      </c>
      <c r="D37" s="913">
        <v>2.004586055112374</v>
      </c>
      <c r="E37" s="913">
        <v>10.497999999999999</v>
      </c>
      <c r="F37" s="913">
        <v>5</v>
      </c>
      <c r="G37" s="913">
        <v>5.0030000000000001</v>
      </c>
      <c r="H37" s="913">
        <v>5.0030000000000001</v>
      </c>
    </row>
    <row r="38" spans="1:11" s="2" customFormat="1">
      <c r="B38" s="39" t="s">
        <v>346</v>
      </c>
      <c r="C38" s="31" t="str">
        <f>Data!$C$9</f>
        <v>£m 18/19</v>
      </c>
      <c r="D38" s="913">
        <v>0</v>
      </c>
      <c r="E38" s="913">
        <v>0</v>
      </c>
      <c r="F38" s="913">
        <v>0</v>
      </c>
      <c r="G38" s="913">
        <v>0</v>
      </c>
      <c r="H38" s="913">
        <v>0</v>
      </c>
    </row>
    <row r="39" spans="1:11" s="2" customFormat="1">
      <c r="B39" s="39" t="s">
        <v>347</v>
      </c>
      <c r="C39" s="31" t="str">
        <f>Data!$C$9</f>
        <v>£m 18/19</v>
      </c>
      <c r="D39" s="829">
        <v>0.2004586055112374</v>
      </c>
      <c r="E39" s="829">
        <v>1.0498000000000001</v>
      </c>
      <c r="F39" s="829">
        <v>0.5</v>
      </c>
      <c r="G39" s="829">
        <v>0.50030000000000008</v>
      </c>
      <c r="H39" s="829">
        <v>0.50030000000000008</v>
      </c>
    </row>
    <row r="40" spans="1:11" s="5" customFormat="1">
      <c r="B40" s="2" t="s">
        <v>348</v>
      </c>
      <c r="C40" s="31" t="str">
        <f>Data!$C$9</f>
        <v>£m 18/19</v>
      </c>
      <c r="D40" s="839">
        <f>D37-D38-D39</f>
        <v>1.8041274496011366</v>
      </c>
      <c r="E40" s="839">
        <f t="shared" ref="E40:H40" si="2">E37-E38-E39</f>
        <v>9.4481999999999999</v>
      </c>
      <c r="F40" s="839">
        <f t="shared" si="2"/>
        <v>4.5</v>
      </c>
      <c r="G40" s="839">
        <f t="shared" si="2"/>
        <v>4.5026999999999999</v>
      </c>
      <c r="H40" s="839">
        <f t="shared" si="2"/>
        <v>4.5026999999999999</v>
      </c>
      <c r="I40" s="2"/>
      <c r="J40" s="2"/>
      <c r="K40" s="2"/>
    </row>
    <row r="41" spans="1:11" s="2" customFormat="1">
      <c r="A41" s="3"/>
      <c r="B41" s="5" t="s">
        <v>349</v>
      </c>
      <c r="C41" s="31" t="str">
        <f>Data!$C$9</f>
        <v>£m 18/19</v>
      </c>
      <c r="D41" s="839">
        <f>D38+D39</f>
        <v>0.2004586055112374</v>
      </c>
      <c r="E41" s="839">
        <f t="shared" ref="E41:H41" si="3">E38+E39</f>
        <v>1.0498000000000001</v>
      </c>
      <c r="F41" s="839">
        <f t="shared" si="3"/>
        <v>0.5</v>
      </c>
      <c r="G41" s="839">
        <f t="shared" si="3"/>
        <v>0.50030000000000008</v>
      </c>
      <c r="H41" s="839">
        <f t="shared" si="3"/>
        <v>0.50030000000000008</v>
      </c>
    </row>
    <row r="42" spans="1:11" s="2" customFormat="1">
      <c r="A42" s="3"/>
      <c r="B42" s="5"/>
      <c r="C42" s="31"/>
      <c r="D42" s="840"/>
      <c r="E42" s="840"/>
      <c r="F42" s="840"/>
      <c r="G42" s="840"/>
      <c r="H42" s="840"/>
    </row>
    <row r="43" spans="1:11" s="2" customFormat="1">
      <c r="A43" s="1" t="s">
        <v>203</v>
      </c>
      <c r="B43" s="5" t="s">
        <v>116</v>
      </c>
      <c r="C43" s="31"/>
      <c r="D43" s="840"/>
      <c r="E43" s="840"/>
      <c r="F43" s="840"/>
      <c r="G43" s="840"/>
      <c r="H43" s="840"/>
    </row>
    <row r="44" spans="1:11" s="2" customFormat="1" ht="14">
      <c r="A44" s="3"/>
      <c r="B44" s="39" t="s">
        <v>350</v>
      </c>
      <c r="C44" s="31" t="str">
        <f>Data!$C$9</f>
        <v>£m 18/19</v>
      </c>
      <c r="D44" s="913">
        <v>0.11234337229874468</v>
      </c>
      <c r="E44" s="914"/>
      <c r="F44" s="914"/>
      <c r="G44" s="914"/>
      <c r="H44" s="914"/>
    </row>
    <row r="45" spans="1:11" s="2" customFormat="1" ht="14">
      <c r="A45" s="3"/>
      <c r="B45" s="39" t="s">
        <v>346</v>
      </c>
      <c r="C45" s="31" t="str">
        <f>Data!$C$9</f>
        <v>£m 18/19</v>
      </c>
      <c r="D45" s="913">
        <v>0</v>
      </c>
      <c r="E45" s="914"/>
      <c r="F45" s="914"/>
      <c r="G45" s="914"/>
      <c r="H45" s="914"/>
    </row>
    <row r="46" spans="1:11" s="2" customFormat="1" ht="14">
      <c r="A46" s="3"/>
      <c r="B46" s="39" t="s">
        <v>347</v>
      </c>
      <c r="C46" s="31" t="str">
        <f>Data!$C$9</f>
        <v>£m 18/19</v>
      </c>
      <c r="D46" s="829">
        <v>1.1234337229874469E-2</v>
      </c>
      <c r="E46" s="914"/>
      <c r="F46" s="914"/>
      <c r="G46" s="914"/>
      <c r="H46" s="914"/>
    </row>
    <row r="47" spans="1:11" s="2" customFormat="1" ht="14">
      <c r="A47" s="3"/>
      <c r="B47" s="2" t="s">
        <v>351</v>
      </c>
      <c r="C47" s="31" t="str">
        <f>Data!$C$9</f>
        <v>£m 18/19</v>
      </c>
      <c r="D47" s="839">
        <f>D44-D45-D46</f>
        <v>0.10110903506887021</v>
      </c>
      <c r="E47" s="914"/>
      <c r="F47" s="914"/>
      <c r="G47" s="914"/>
      <c r="H47" s="914"/>
    </row>
    <row r="48" spans="1:11" ht="14">
      <c r="A48" s="55"/>
      <c r="B48" s="5" t="s">
        <v>352</v>
      </c>
      <c r="C48" s="31" t="str">
        <f>Data!$C$9</f>
        <v>£m 18/19</v>
      </c>
      <c r="D48" s="839">
        <f>D45+D46</f>
        <v>1.1234337229874469E-2</v>
      </c>
      <c r="E48" s="914"/>
      <c r="F48" s="914"/>
      <c r="G48" s="914"/>
      <c r="H48" s="914"/>
      <c r="I48" s="2"/>
    </row>
    <row r="49" spans="1:11">
      <c r="B49" s="5"/>
      <c r="C49" s="31"/>
      <c r="D49" s="836"/>
      <c r="E49" s="836"/>
      <c r="F49" s="836"/>
      <c r="G49" s="836"/>
      <c r="H49" s="836"/>
      <c r="I49" s="31"/>
    </row>
    <row r="50" spans="1:11">
      <c r="A50" s="1" t="s">
        <v>204</v>
      </c>
      <c r="B50" s="5" t="s">
        <v>117</v>
      </c>
      <c r="C50" s="31"/>
      <c r="D50" s="840"/>
      <c r="E50" s="840"/>
      <c r="F50" s="840"/>
      <c r="G50" s="840"/>
      <c r="H50" s="840"/>
      <c r="I50" s="2"/>
    </row>
    <row r="51" spans="1:11">
      <c r="A51" s="3"/>
      <c r="B51" s="39" t="s">
        <v>353</v>
      </c>
      <c r="C51" s="31" t="str">
        <f>Data!$C$9</f>
        <v>£m 18/19</v>
      </c>
      <c r="D51" s="913">
        <v>0.10777859982385539</v>
      </c>
      <c r="E51" s="913">
        <v>0.91907737554795621</v>
      </c>
      <c r="F51" s="913">
        <v>0</v>
      </c>
      <c r="G51" s="913">
        <v>0</v>
      </c>
      <c r="H51" s="913">
        <v>0</v>
      </c>
      <c r="I51" s="2"/>
    </row>
    <row r="52" spans="1:11">
      <c r="A52" s="3"/>
      <c r="B52" s="39" t="s">
        <v>354</v>
      </c>
      <c r="C52" s="31" t="str">
        <f>Data!$C$9</f>
        <v>£m 18/19</v>
      </c>
      <c r="D52" s="913">
        <v>0</v>
      </c>
      <c r="E52" s="913">
        <v>0</v>
      </c>
      <c r="F52" s="913">
        <v>0</v>
      </c>
      <c r="G52" s="913">
        <v>0</v>
      </c>
      <c r="H52" s="913">
        <v>0</v>
      </c>
      <c r="I52" s="2"/>
    </row>
    <row r="53" spans="1:11">
      <c r="A53" s="3"/>
      <c r="B53" s="39" t="s">
        <v>347</v>
      </c>
      <c r="C53" s="31" t="str">
        <f>Data!$C$9</f>
        <v>£m 18/19</v>
      </c>
      <c r="D53" s="829">
        <v>0</v>
      </c>
      <c r="E53" s="829">
        <v>0</v>
      </c>
      <c r="F53" s="829">
        <v>0</v>
      </c>
      <c r="G53" s="829">
        <v>0</v>
      </c>
      <c r="H53" s="829">
        <v>0</v>
      </c>
      <c r="I53" s="2"/>
    </row>
    <row r="54" spans="1:11">
      <c r="A54" s="3"/>
      <c r="B54" s="2" t="s">
        <v>355</v>
      </c>
      <c r="C54" s="31" t="str">
        <f>Data!$C$9</f>
        <v>£m 18/19</v>
      </c>
      <c r="D54" s="839">
        <f>D51-D52-D53</f>
        <v>0.10777859982385539</v>
      </c>
      <c r="E54" s="839">
        <f>E51-E52-E53</f>
        <v>0.91907737554795621</v>
      </c>
      <c r="F54" s="839">
        <f>F51-F52-F53</f>
        <v>0</v>
      </c>
      <c r="G54" s="839">
        <f>G51-G52-G53</f>
        <v>0</v>
      </c>
      <c r="H54" s="839">
        <f>H51-H52-H53</f>
        <v>0</v>
      </c>
      <c r="I54" s="2"/>
    </row>
    <row r="55" spans="1:11">
      <c r="A55" s="55"/>
      <c r="B55" s="5" t="s">
        <v>356</v>
      </c>
      <c r="C55" s="31" t="str">
        <f>Data!$C$9</f>
        <v>£m 18/19</v>
      </c>
      <c r="D55" s="839">
        <f>D52+D53</f>
        <v>0</v>
      </c>
      <c r="E55" s="839">
        <f>E52+E53</f>
        <v>0</v>
      </c>
      <c r="F55" s="839">
        <f>F52+F53</f>
        <v>0</v>
      </c>
      <c r="G55" s="839">
        <f>G52+G53</f>
        <v>0</v>
      </c>
      <c r="H55" s="839">
        <f>H52+H53</f>
        <v>0</v>
      </c>
      <c r="I55" s="2"/>
    </row>
    <row r="56" spans="1:11">
      <c r="B56" s="5"/>
      <c r="C56" s="31"/>
      <c r="D56" s="31"/>
      <c r="E56" s="31"/>
      <c r="F56" s="31"/>
      <c r="G56" s="31"/>
      <c r="H56" s="31"/>
      <c r="I56" s="31"/>
    </row>
    <row r="57" spans="1:11">
      <c r="B57" s="5"/>
      <c r="C57" s="31"/>
      <c r="D57" s="31"/>
      <c r="E57" s="31"/>
      <c r="F57" s="31"/>
      <c r="G57" s="31"/>
      <c r="H57" s="31"/>
      <c r="I57" s="31"/>
    </row>
    <row r="58" spans="1:11" s="2" customFormat="1">
      <c r="B58" s="428" t="s">
        <v>357</v>
      </c>
      <c r="C58" s="42"/>
    </row>
    <row r="59" spans="1:11" s="2" customFormat="1" ht="16">
      <c r="B59" s="94" t="s">
        <v>358</v>
      </c>
      <c r="C59" s="569" t="s">
        <v>948</v>
      </c>
      <c r="D59" s="94"/>
      <c r="E59" s="94"/>
      <c r="F59" s="94"/>
      <c r="G59" s="94"/>
      <c r="H59" s="94"/>
      <c r="I59" s="94"/>
      <c r="J59" s="94"/>
      <c r="K59" s="94"/>
    </row>
    <row r="60" spans="1:11" s="2" customFormat="1">
      <c r="B60" s="471" t="s">
        <v>359</v>
      </c>
      <c r="C60" s="42"/>
    </row>
    <row r="61" spans="1:11" s="2" customFormat="1" ht="19" customHeight="1">
      <c r="A61" s="49"/>
      <c r="B61" s="329" t="s">
        <v>360</v>
      </c>
    </row>
    <row r="62" spans="1:11" s="2" customFormat="1" ht="14.5" customHeight="1">
      <c r="A62" s="49" t="s">
        <v>205</v>
      </c>
      <c r="B62" s="413" t="str">
        <f>Data!B187</f>
        <v/>
      </c>
      <c r="C62" s="31" t="str">
        <f>Data!$C$9</f>
        <v>£m 18/19</v>
      </c>
      <c r="D62" s="915">
        <v>0</v>
      </c>
      <c r="E62" s="915">
        <v>0</v>
      </c>
      <c r="F62" s="915">
        <v>0</v>
      </c>
      <c r="G62" s="915">
        <v>0</v>
      </c>
      <c r="H62" s="915">
        <v>0</v>
      </c>
    </row>
    <row r="63" spans="1:11" s="2" customFormat="1" ht="14.5" customHeight="1">
      <c r="A63" s="49" t="s">
        <v>206</v>
      </c>
      <c r="B63" s="413" t="str">
        <f>Data!B188</f>
        <v/>
      </c>
      <c r="C63" s="31" t="str">
        <f>Data!$C$9</f>
        <v>£m 18/19</v>
      </c>
      <c r="D63" s="915">
        <v>0</v>
      </c>
      <c r="E63" s="915">
        <v>0</v>
      </c>
      <c r="F63" s="915">
        <v>0</v>
      </c>
      <c r="G63" s="915">
        <v>0</v>
      </c>
      <c r="H63" s="915">
        <v>0</v>
      </c>
    </row>
    <row r="64" spans="1:11" s="2" customFormat="1" ht="14.5" customHeight="1">
      <c r="A64" s="49" t="s">
        <v>207</v>
      </c>
      <c r="B64" s="413" t="str">
        <f>Data!B189</f>
        <v/>
      </c>
      <c r="C64" s="31" t="str">
        <f>Data!$C$9</f>
        <v>£m 18/19</v>
      </c>
      <c r="D64" s="915">
        <v>0</v>
      </c>
      <c r="E64" s="915">
        <v>0</v>
      </c>
      <c r="F64" s="915">
        <v>0</v>
      </c>
      <c r="G64" s="915">
        <v>0</v>
      </c>
      <c r="H64" s="915">
        <v>0</v>
      </c>
    </row>
    <row r="65" spans="1:13" s="2" customFormat="1" ht="14.5" customHeight="1">
      <c r="A65" s="49" t="s">
        <v>208</v>
      </c>
      <c r="B65" s="413" t="str">
        <f>Data!B190</f>
        <v/>
      </c>
      <c r="C65" s="31" t="str">
        <f>Data!$C$9</f>
        <v>£m 18/19</v>
      </c>
      <c r="D65" s="915">
        <v>0</v>
      </c>
      <c r="E65" s="915">
        <v>0</v>
      </c>
      <c r="F65" s="915">
        <v>0</v>
      </c>
      <c r="G65" s="915">
        <v>0</v>
      </c>
      <c r="H65" s="915">
        <v>0</v>
      </c>
    </row>
    <row r="66" spans="1:13" s="2" customFormat="1" ht="14.5" customHeight="1">
      <c r="A66" s="49" t="s">
        <v>209</v>
      </c>
      <c r="B66" s="413" t="str">
        <f>Data!B191</f>
        <v/>
      </c>
      <c r="C66" s="31" t="str">
        <f>Data!$C$9</f>
        <v>£m 18/19</v>
      </c>
      <c r="D66" s="915">
        <v>0</v>
      </c>
      <c r="E66" s="915">
        <v>0</v>
      </c>
      <c r="F66" s="915">
        <v>0</v>
      </c>
      <c r="G66" s="915">
        <v>0</v>
      </c>
      <c r="H66" s="915">
        <v>0</v>
      </c>
    </row>
    <row r="67" spans="1:13" s="2" customFormat="1" ht="14.5" customHeight="1">
      <c r="B67" s="5"/>
      <c r="C67" s="48" t="str">
        <f>Data!$C$9</f>
        <v>£m 18/19</v>
      </c>
      <c r="D67" s="839">
        <f>SUM(D62:D66)</f>
        <v>0</v>
      </c>
      <c r="E67" s="839">
        <f>SUM(E62:E66)</f>
        <v>0</v>
      </c>
      <c r="F67" s="839">
        <f>SUM(F62:F66)</f>
        <v>0</v>
      </c>
      <c r="G67" s="839">
        <f>SUM(G62:G66)</f>
        <v>0</v>
      </c>
      <c r="H67" s="839">
        <f>SUM(H62:H66)</f>
        <v>0</v>
      </c>
    </row>
    <row r="68" spans="1:13" s="2" customFormat="1" ht="14.5" customHeight="1">
      <c r="B68" s="5"/>
      <c r="C68" s="48"/>
      <c r="D68" s="48"/>
      <c r="E68" s="48"/>
      <c r="F68" s="48"/>
      <c r="G68" s="48"/>
      <c r="H68" s="48"/>
      <c r="I68" s="48"/>
    </row>
    <row r="69" spans="1:13" s="232" customFormat="1" ht="14.25" customHeight="1">
      <c r="A69" s="231"/>
      <c r="M69" s="2"/>
    </row>
    <row r="70" spans="1:13" s="2" customFormat="1">
      <c r="A70" s="397"/>
      <c r="B70" s="398" t="s">
        <v>342</v>
      </c>
      <c r="C70" s="399"/>
      <c r="D70" s="399"/>
      <c r="E70" s="399"/>
      <c r="F70" s="399"/>
      <c r="G70" s="399"/>
      <c r="H70" s="399"/>
      <c r="I70" s="399"/>
      <c r="J70" s="399"/>
    </row>
    <row r="71" spans="1:13" s="2" customFormat="1">
      <c r="A71" s="400" t="s">
        <v>202</v>
      </c>
      <c r="B71" s="1049" t="s">
        <v>1084</v>
      </c>
      <c r="C71" s="1049"/>
      <c r="D71" s="1049"/>
      <c r="E71" s="1049"/>
      <c r="F71" s="1049"/>
      <c r="G71" s="1049"/>
      <c r="H71" s="1049"/>
      <c r="I71" s="1049"/>
      <c r="J71" s="1049"/>
    </row>
    <row r="72" spans="1:13" s="2" customFormat="1">
      <c r="A72" s="400" t="s">
        <v>203</v>
      </c>
      <c r="B72" s="1048"/>
      <c r="C72" s="1048"/>
      <c r="D72" s="1048"/>
      <c r="E72" s="1048"/>
      <c r="F72" s="1048"/>
      <c r="G72" s="1048"/>
      <c r="H72" s="1048"/>
      <c r="I72" s="1048"/>
      <c r="J72" s="1048"/>
    </row>
    <row r="73" spans="1:13" s="2" customFormat="1">
      <c r="A73" s="400" t="s">
        <v>204</v>
      </c>
      <c r="B73" s="1049" t="s">
        <v>1085</v>
      </c>
      <c r="C73" s="1049"/>
      <c r="D73" s="1049"/>
      <c r="E73" s="1049"/>
      <c r="F73" s="1049"/>
      <c r="G73" s="1049"/>
      <c r="H73" s="1049"/>
      <c r="I73" s="1049"/>
      <c r="J73" s="1049"/>
    </row>
    <row r="74" spans="1:13" s="2" customFormat="1">
      <c r="A74" s="400" t="s">
        <v>205</v>
      </c>
      <c r="B74" s="1048"/>
      <c r="C74" s="1048"/>
      <c r="D74" s="1048"/>
      <c r="E74" s="1048"/>
      <c r="F74" s="1048"/>
      <c r="G74" s="1048"/>
      <c r="H74" s="1048"/>
      <c r="I74" s="1048"/>
      <c r="J74" s="1048"/>
    </row>
    <row r="75" spans="1:13" s="2" customFormat="1">
      <c r="A75" s="400" t="s">
        <v>206</v>
      </c>
      <c r="B75" s="1048"/>
      <c r="C75" s="1048"/>
      <c r="D75" s="1048"/>
      <c r="E75" s="1048"/>
      <c r="F75" s="1048"/>
      <c r="G75" s="1048"/>
      <c r="H75" s="1048"/>
      <c r="I75" s="1048"/>
      <c r="J75" s="1048"/>
    </row>
    <row r="76" spans="1:13" s="2" customFormat="1">
      <c r="A76" s="400" t="s">
        <v>207</v>
      </c>
      <c r="B76" s="1048"/>
      <c r="C76" s="1048"/>
      <c r="D76" s="1048"/>
      <c r="E76" s="1048"/>
      <c r="F76" s="1048"/>
      <c r="G76" s="1048"/>
      <c r="H76" s="1048"/>
      <c r="I76" s="1048"/>
      <c r="J76" s="1048"/>
    </row>
    <row r="77" spans="1:13" s="2" customFormat="1">
      <c r="A77" s="400" t="s">
        <v>208</v>
      </c>
      <c r="B77" s="1048"/>
      <c r="C77" s="1048"/>
      <c r="D77" s="1048"/>
      <c r="E77" s="1048"/>
      <c r="F77" s="1048"/>
      <c r="G77" s="1048"/>
      <c r="H77" s="1048"/>
      <c r="I77" s="1048"/>
      <c r="J77" s="1048"/>
    </row>
    <row r="78" spans="1:13" s="2" customFormat="1">
      <c r="A78" s="400" t="s">
        <v>209</v>
      </c>
      <c r="B78" s="1048"/>
      <c r="C78" s="1048"/>
      <c r="D78" s="1048"/>
      <c r="E78" s="1048"/>
      <c r="F78" s="1048"/>
      <c r="G78" s="1048"/>
      <c r="H78" s="1048"/>
      <c r="I78" s="1048"/>
      <c r="J78" s="1048"/>
    </row>
  </sheetData>
  <sheetProtection algorithmName="SHA-512" hashValue="M3TtOC6UuqyMj0qWW6TJwWWaK+ptsVv5xEWnmPRGwkZwTBPBxs9Mlnt2nbei25AfiCiYixH7KLTtMgF44PAmGw==" saltValue="Vl6H9oog40Ttj0/zba/9qQ==" spinCount="100000" sheet="1" objects="1" scenarios="1"/>
  <mergeCells count="15">
    <mergeCell ref="B24:J24"/>
    <mergeCell ref="B78:J78"/>
    <mergeCell ref="B73:J73"/>
    <mergeCell ref="B74:J74"/>
    <mergeCell ref="B75:J75"/>
    <mergeCell ref="B76:J76"/>
    <mergeCell ref="B30:J30"/>
    <mergeCell ref="B25:J25"/>
    <mergeCell ref="B26:J26"/>
    <mergeCell ref="B27:J27"/>
    <mergeCell ref="B28:J28"/>
    <mergeCell ref="B29:J29"/>
    <mergeCell ref="B71:J71"/>
    <mergeCell ref="B72:J72"/>
    <mergeCell ref="B77:J77"/>
  </mergeCells>
  <conditionalFormatting sqref="D5:G6 I5">
    <cfRule type="expression" dxfId="47" priority="33">
      <formula>AND(D$5="Actuals",E$5="Forecast")</formula>
    </cfRule>
  </conditionalFormatting>
  <conditionalFormatting sqref="H5:H6">
    <cfRule type="expression" dxfId="46" priority="237">
      <formula>AND(H$5="Actuals",#REF!="Forecast")</formula>
    </cfRule>
  </conditionalFormatting>
  <conditionalFormatting sqref="D7:H7">
    <cfRule type="expression" dxfId="45" priority="1">
      <formula>AND(D$5="Actuals",E$5="Forecast")</formula>
    </cfRule>
  </conditionalFormatting>
  <pageMargins left="0.70866141732283472" right="0.70866141732283472" top="0.74803149606299213" bottom="0.74803149606299213" header="0.31496062992125984" footer="0.31496062992125984"/>
  <pageSetup paperSize="8" fitToHeight="2" orientation="landscape" r:id="rId1"/>
  <headerFooter>
    <oddFooter>&amp;C_x000D_&amp;1#&amp;"Calibri"&amp;10&amp;K000000 OFFICIAL-InternalOnly</oddFooter>
  </headerFooter>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FFFFCC"/>
    <pageSetUpPr fitToPage="1"/>
  </sheetPr>
  <dimension ref="A1:L91"/>
  <sheetViews>
    <sheetView showGridLines="0" zoomScaleNormal="100" workbookViewId="0">
      <pane ySplit="7" topLeftCell="A8" activePane="bottomLeft" state="frozen"/>
      <selection activeCell="B1" sqref="B1"/>
      <selection pane="bottomLeft"/>
    </sheetView>
  </sheetViews>
  <sheetFormatPr defaultRowHeight="13.5"/>
  <cols>
    <col min="1" max="1" width="8.3828125" customWidth="1"/>
    <col min="2" max="2" width="101.765625" customWidth="1"/>
    <col min="3" max="3" width="14.15234375" customWidth="1"/>
    <col min="4" max="8" width="11.15234375" style="24" customWidth="1"/>
    <col min="9" max="10" width="12.84375" style="24" customWidth="1"/>
    <col min="11" max="11" width="5" customWidth="1"/>
  </cols>
  <sheetData>
    <row r="1" spans="1:11" ht="20">
      <c r="A1" s="677" t="s">
        <v>177</v>
      </c>
      <c r="B1" s="381"/>
      <c r="C1" s="382"/>
      <c r="D1" s="847"/>
      <c r="E1" s="847"/>
      <c r="F1" s="847"/>
      <c r="G1" s="847"/>
      <c r="H1" s="847"/>
      <c r="I1" s="848"/>
      <c r="J1" s="848"/>
      <c r="K1" s="684"/>
    </row>
    <row r="2" spans="1:11" ht="20">
      <c r="A2" s="295" t="str">
        <f>Licensee</f>
        <v>NGGT (TO)</v>
      </c>
      <c r="B2" s="290"/>
      <c r="C2" s="15"/>
      <c r="D2" s="850"/>
      <c r="E2" s="850"/>
      <c r="F2" s="850"/>
      <c r="G2" s="850"/>
      <c r="H2" s="850"/>
      <c r="I2" s="851"/>
      <c r="J2" s="851"/>
      <c r="K2" s="38"/>
    </row>
    <row r="3" spans="1:11" ht="20">
      <c r="A3" s="534">
        <f>Reporting_Year</f>
        <v>2022</v>
      </c>
      <c r="B3" s="533" t="str">
        <f>IF('RFPR cover'!C7=Data!B78,"Not required to be completed for System Operator","")</f>
        <v/>
      </c>
      <c r="C3" s="534"/>
      <c r="D3" s="852"/>
      <c r="E3" s="852"/>
      <c r="F3" s="852"/>
      <c r="G3" s="852"/>
      <c r="H3" s="852"/>
      <c r="I3" s="853"/>
      <c r="J3" s="853"/>
      <c r="K3" s="68"/>
    </row>
    <row r="4" spans="1:11" ht="12.75" customHeight="1">
      <c r="A4" s="21"/>
      <c r="B4" s="21"/>
      <c r="C4" s="21"/>
      <c r="D4" s="917"/>
      <c r="E4" s="917"/>
      <c r="F4" s="917"/>
      <c r="G4" s="917"/>
      <c r="H4" s="917"/>
      <c r="I4" s="918"/>
    </row>
    <row r="5" spans="1:11" s="2" customFormat="1">
      <c r="B5" s="3"/>
      <c r="C5" s="3"/>
      <c r="D5" s="512" t="str">
        <f t="shared" ref="D5:I5" si="0">IF(D6&lt;=Reporting_Year,"Actuals","Forecast")</f>
        <v>Actuals</v>
      </c>
      <c r="E5" s="512" t="str">
        <f t="shared" si="0"/>
        <v>Forecast</v>
      </c>
      <c r="F5" s="512" t="str">
        <f t="shared" si="0"/>
        <v>Forecast</v>
      </c>
      <c r="G5" s="512" t="str">
        <f t="shared" si="0"/>
        <v>Forecast</v>
      </c>
      <c r="H5" s="512" t="str">
        <f t="shared" si="0"/>
        <v>Forecast</v>
      </c>
      <c r="I5" s="512" t="str">
        <f t="shared" si="0"/>
        <v>Forecast</v>
      </c>
      <c r="J5" s="337"/>
    </row>
    <row r="6" spans="1:11" s="2" customFormat="1" ht="27">
      <c r="D6" s="401">
        <f>'RFPR cover'!$C$6</f>
        <v>2022</v>
      </c>
      <c r="E6" s="401">
        <f>D6+1</f>
        <v>2023</v>
      </c>
      <c r="F6" s="401">
        <f t="shared" ref="F6:H6" si="1">E6+1</f>
        <v>2024</v>
      </c>
      <c r="G6" s="401">
        <f t="shared" si="1"/>
        <v>2025</v>
      </c>
      <c r="H6" s="401">
        <f t="shared" si="1"/>
        <v>2026</v>
      </c>
      <c r="I6" s="696" t="str">
        <f>"Cumulative to "&amp;'RFPR cover'!$C$9</f>
        <v>Cumulative to 2022</v>
      </c>
      <c r="J6" s="696" t="s">
        <v>191</v>
      </c>
    </row>
    <row r="7" spans="1:11" s="2" customFormat="1">
      <c r="D7" s="401" t="str">
        <f>RIIO_2_start_date-1&amp;"/"&amp;RIGHT(RIIO_2_start_date,2)</f>
        <v>2021/22</v>
      </c>
      <c r="E7" s="401" t="str">
        <f>RIIO_2_start_date&amp;"/"&amp;RIGHT(RIIO_2_start_date+1,2)</f>
        <v>2022/23</v>
      </c>
      <c r="F7" s="401" t="str">
        <f>RIIO_2_start_date+1&amp;"/"&amp;RIGHT(RIIO_2_start_date+2,2)</f>
        <v>2023/24</v>
      </c>
      <c r="G7" s="401" t="str">
        <f>RIIO_2_start_date+2&amp;"/"&amp;RIGHT(RIIO_2_start_date+3,2)</f>
        <v>2024/25</v>
      </c>
      <c r="H7" s="401" t="str">
        <f>RIIO_2_start_date+3&amp;"/"&amp;RIGHT(RIIO_2_start_date+4,2)</f>
        <v>2025/26</v>
      </c>
      <c r="I7" s="337"/>
      <c r="J7" s="337"/>
    </row>
    <row r="8" spans="1:11" s="2" customFormat="1">
      <c r="D8" s="337"/>
      <c r="E8" s="337"/>
      <c r="F8" s="337"/>
      <c r="G8" s="337"/>
      <c r="H8" s="337"/>
      <c r="I8" s="337"/>
      <c r="J8" s="337"/>
    </row>
    <row r="9" spans="1:11">
      <c r="B9" s="220" t="str">
        <f>'R5a - Financing input'!C589</f>
        <v>Net Interest Per Statutory Accounts</v>
      </c>
      <c r="C9" s="46" t="s">
        <v>230</v>
      </c>
      <c r="D9" s="901">
        <f>'R5a - Financing input'!M589</f>
        <v>179.27155831999994</v>
      </c>
      <c r="E9" s="901">
        <f>'R5a - Financing input'!N589</f>
        <v>287.97041367808555</v>
      </c>
      <c r="F9" s="901">
        <f>'R5a - Financing input'!O589</f>
        <v>160.35076818166661</v>
      </c>
      <c r="G9" s="901">
        <f>'R5a - Financing input'!P589</f>
        <v>109.19311208826498</v>
      </c>
      <c r="H9" s="901">
        <f>'R5a - Financing input'!Q589</f>
        <v>109.34684668781425</v>
      </c>
      <c r="I9" s="337"/>
      <c r="J9" s="337"/>
    </row>
    <row r="10" spans="1:11">
      <c r="B10" s="6"/>
      <c r="C10" s="46"/>
      <c r="D10" s="821"/>
      <c r="E10" s="821"/>
      <c r="F10" s="821"/>
      <c r="G10" s="821"/>
      <c r="H10" s="821"/>
      <c r="I10" s="337"/>
      <c r="J10" s="337"/>
    </row>
    <row r="11" spans="1:11">
      <c r="B11" s="6" t="s">
        <v>361</v>
      </c>
      <c r="C11" s="8"/>
      <c r="D11" s="827"/>
      <c r="E11" s="827"/>
      <c r="F11" s="827"/>
      <c r="G11" s="827"/>
      <c r="H11" s="827"/>
      <c r="I11" s="337"/>
      <c r="J11" s="337"/>
    </row>
    <row r="12" spans="1:11">
      <c r="B12" s="127" t="str">
        <f>'R5a - Financing input'!C597</f>
        <v>Interest not qualifying for corporation tax relief</v>
      </c>
      <c r="C12" s="46" t="s">
        <v>230</v>
      </c>
      <c r="D12" s="901">
        <f>'R5a - Financing input'!M597</f>
        <v>4.5999999999999996</v>
      </c>
      <c r="E12" s="901">
        <f>'R5a - Financing input'!N597</f>
        <v>2.8</v>
      </c>
      <c r="F12" s="901">
        <f>'R5a - Financing input'!O597</f>
        <v>0.4</v>
      </c>
      <c r="G12" s="901">
        <f>'R5a - Financing input'!P597</f>
        <v>0.2</v>
      </c>
      <c r="H12" s="901">
        <f>'R5a - Financing input'!Q597</f>
        <v>0</v>
      </c>
      <c r="I12" s="337"/>
      <c r="J12" s="337"/>
    </row>
    <row r="13" spans="1:11">
      <c r="B13" s="127" t="str">
        <f>'R5a - Financing input'!C598</f>
        <v>Fair value adjustments (e.g. losses on derivatives)</v>
      </c>
      <c r="C13" s="46" t="s">
        <v>230</v>
      </c>
      <c r="D13" s="901">
        <f>'R5a - Financing input'!M598</f>
        <v>29.331136371288338</v>
      </c>
      <c r="E13" s="901">
        <f>'R5a - Financing input'!N598</f>
        <v>8.6311363712883384</v>
      </c>
      <c r="F13" s="901">
        <f>'R5a - Financing input'!O598</f>
        <v>8.6311363712883384</v>
      </c>
      <c r="G13" s="901">
        <f>'R5a - Financing input'!P598</f>
        <v>8.6311363712883384</v>
      </c>
      <c r="H13" s="901">
        <f>'R5a - Financing input'!Q598</f>
        <v>8.6311363712883384</v>
      </c>
      <c r="I13" s="337"/>
      <c r="J13" s="337"/>
    </row>
    <row r="14" spans="1:11">
      <c r="B14" s="127" t="str">
        <f>'R5a - Financing input'!C599</f>
        <v>Dividends on preference shares</v>
      </c>
      <c r="C14" s="46" t="s">
        <v>230</v>
      </c>
      <c r="D14" s="901">
        <f>'R5a - Financing input'!M599</f>
        <v>0</v>
      </c>
      <c r="E14" s="901">
        <f>'R5a - Financing input'!N599</f>
        <v>0</v>
      </c>
      <c r="F14" s="901">
        <f>'R5a - Financing input'!O599</f>
        <v>0</v>
      </c>
      <c r="G14" s="901">
        <f>'R5a - Financing input'!P599</f>
        <v>0</v>
      </c>
      <c r="H14" s="901">
        <f>'R5a - Financing input'!Q599</f>
        <v>0</v>
      </c>
      <c r="I14" s="337"/>
      <c r="J14" s="337"/>
    </row>
    <row r="15" spans="1:11">
      <c r="B15" s="127" t="str">
        <f>'R5a - Financing input'!C600</f>
        <v>Costs of early redemption on long term debt</v>
      </c>
      <c r="C15" s="46" t="s">
        <v>230</v>
      </c>
      <c r="D15" s="901">
        <f>'R5a - Financing input'!M600</f>
        <v>0</v>
      </c>
      <c r="E15" s="901">
        <f>'R5a - Financing input'!N600</f>
        <v>0</v>
      </c>
      <c r="F15" s="901">
        <f>'R5a - Financing input'!O600</f>
        <v>0</v>
      </c>
      <c r="G15" s="901">
        <f>'R5a - Financing input'!P600</f>
        <v>0</v>
      </c>
      <c r="H15" s="901">
        <f>'R5a - Financing input'!Q600</f>
        <v>0</v>
      </c>
      <c r="I15" s="337"/>
      <c r="J15" s="337"/>
    </row>
    <row r="16" spans="1:11">
      <c r="B16" s="127" t="str">
        <f>'R5a - Financing input'!C601</f>
        <v>Swap Termination Costs paid</v>
      </c>
      <c r="C16" s="46" t="s">
        <v>230</v>
      </c>
      <c r="D16" s="901">
        <f>'R5a - Financing input'!M601</f>
        <v>-2</v>
      </c>
      <c r="E16" s="901">
        <f>'R5a - Financing input'!N601</f>
        <v>-1.481240269687629</v>
      </c>
      <c r="F16" s="901">
        <f>'R5a - Financing input'!O601</f>
        <v>-1.48529846220732</v>
      </c>
      <c r="G16" s="901">
        <f>'R5a - Financing input'!P601</f>
        <v>-1.3915518439053887</v>
      </c>
      <c r="H16" s="901">
        <f>'R5a - Financing input'!Q601</f>
        <v>-1.0610712504061937</v>
      </c>
      <c r="I16" s="337"/>
      <c r="J16" s="337"/>
    </row>
    <row r="17" spans="2:9">
      <c r="B17" s="127" t="str">
        <f>'R5a - Financing input'!C602</f>
        <v>Movements relating to pension fund liabilities reported within net interest</v>
      </c>
      <c r="C17" s="46" t="s">
        <v>230</v>
      </c>
      <c r="D17" s="901">
        <f>'R5a - Financing input'!M602</f>
        <v>2.0000000400000002</v>
      </c>
      <c r="E17" s="901">
        <f>'R5a - Financing input'!N602</f>
        <v>2.0000000400000002</v>
      </c>
      <c r="F17" s="901">
        <f>'R5a - Financing input'!O602</f>
        <v>2.0000000400000002</v>
      </c>
      <c r="G17" s="901">
        <f>'R5a - Financing input'!P602</f>
        <v>2.0000000400000002</v>
      </c>
      <c r="H17" s="901">
        <f>'R5a - Financing input'!Q602</f>
        <v>2.0000000400000002</v>
      </c>
      <c r="I17" s="337"/>
    </row>
    <row r="18" spans="2:9">
      <c r="B18" s="127" t="str">
        <f>'R5a - Financing input'!C603</f>
        <v>Debt issuance expenses (inc. amortisation to discounts that had previously benefitted from a tax deduction)</v>
      </c>
      <c r="C18" s="46" t="s">
        <v>230</v>
      </c>
      <c r="D18" s="901">
        <f>'R5a - Financing input'!M603</f>
        <v>0</v>
      </c>
      <c r="E18" s="901">
        <f>'R5a - Financing input'!N603</f>
        <v>0</v>
      </c>
      <c r="F18" s="901">
        <f>'R5a - Financing input'!O603</f>
        <v>0</v>
      </c>
      <c r="G18" s="901">
        <f>'R5a - Financing input'!P603</f>
        <v>0</v>
      </c>
      <c r="H18" s="901">
        <f>'R5a - Financing input'!Q603</f>
        <v>0</v>
      </c>
      <c r="I18" s="337"/>
    </row>
    <row r="19" spans="2:9" ht="12.75" customHeight="1">
      <c r="B19" s="127" t="str">
        <f>'R5a - Financing input'!C604</f>
        <v>Commitment fees for undrawn liquidity backup lines</v>
      </c>
      <c r="C19" s="46" t="s">
        <v>230</v>
      </c>
      <c r="D19" s="901">
        <f>'R5a - Financing input'!M604</f>
        <v>-0.34048208000000002</v>
      </c>
      <c r="E19" s="901">
        <f>'R5a - Financing input'!N604</f>
        <v>-0.34048208000000002</v>
      </c>
      <c r="F19" s="901">
        <f>'R5a - Financing input'!O604</f>
        <v>-0.34048208000000002</v>
      </c>
      <c r="G19" s="901">
        <f>'R5a - Financing input'!P604</f>
        <v>-0.34048208000000002</v>
      </c>
      <c r="H19" s="901">
        <f>'R5a - Financing input'!Q604</f>
        <v>-0.34048208000000002</v>
      </c>
      <c r="I19" s="337"/>
    </row>
    <row r="20" spans="2:9">
      <c r="B20" s="127" t="str">
        <f>'R5a - Financing input'!C605</f>
        <v>1. allocated to Cadent Gas (statutory basis)</v>
      </c>
      <c r="C20" s="46" t="s">
        <v>230</v>
      </c>
      <c r="D20" s="901">
        <f>'R5a - Financing input'!M605</f>
        <v>0</v>
      </c>
      <c r="E20" s="901">
        <f>'R5a - Financing input'!N605</f>
        <v>0</v>
      </c>
      <c r="F20" s="901">
        <f>'R5a - Financing input'!O605</f>
        <v>0</v>
      </c>
      <c r="G20" s="901">
        <f>'R5a - Financing input'!P605</f>
        <v>0</v>
      </c>
      <c r="H20" s="901">
        <f>'R5a - Financing input'!Q605</f>
        <v>0</v>
      </c>
      <c r="I20" s="337"/>
    </row>
    <row r="21" spans="2:9">
      <c r="B21" s="127" t="str">
        <f>'R5a - Financing input'!C606</f>
        <v>2. allocated to non-regualted businesses (statutory basis)</v>
      </c>
      <c r="C21" s="46" t="s">
        <v>230</v>
      </c>
      <c r="D21" s="901">
        <f>'R5a - Financing input'!M606</f>
        <v>6.092014474355075</v>
      </c>
      <c r="E21" s="901">
        <f>'R5a - Financing input'!N606</f>
        <v>6.092014474355075</v>
      </c>
      <c r="F21" s="901">
        <f>'R5a - Financing input'!O606</f>
        <v>6.092014474355075</v>
      </c>
      <c r="G21" s="901">
        <f>'R5a - Financing input'!P606</f>
        <v>6.092014474355075</v>
      </c>
      <c r="H21" s="901">
        <f>'R5a - Financing input'!Q606</f>
        <v>6.092014474355075</v>
      </c>
      <c r="I21" s="337"/>
    </row>
    <row r="22" spans="2:9">
      <c r="B22" s="127" t="str">
        <f>'R5a - Financing input'!C607</f>
        <v>3. allocated to GSO (regulated basis)</v>
      </c>
      <c r="C22" s="46" t="s">
        <v>230</v>
      </c>
      <c r="D22" s="901">
        <f>'R5a - Financing input'!M607</f>
        <v>4.0408363538936545</v>
      </c>
      <c r="E22" s="901">
        <f>'R5a - Financing input'!N607</f>
        <v>4.0408363538936545</v>
      </c>
      <c r="F22" s="901">
        <f>'R5a - Financing input'!O607</f>
        <v>4.0408363538936545</v>
      </c>
      <c r="G22" s="901">
        <f>'R5a - Financing input'!P607</f>
        <v>4.0408363538936545</v>
      </c>
      <c r="H22" s="901">
        <f>'R5a - Financing input'!Q607</f>
        <v>4.0408363538936545</v>
      </c>
      <c r="I22" s="337"/>
    </row>
    <row r="23" spans="2:9">
      <c r="B23" s="127" t="str">
        <f>'R5a - Financing input'!C608</f>
        <v>4. capitalised interest added back</v>
      </c>
      <c r="C23" s="46" t="s">
        <v>230</v>
      </c>
      <c r="D23" s="901">
        <f>'R5a - Financing input'!M608</f>
        <v>16.460697490000001</v>
      </c>
      <c r="E23" s="901">
        <f>'R5a - Financing input'!N608</f>
        <v>16.460697490000001</v>
      </c>
      <c r="F23" s="901">
        <f>'R5a - Financing input'!O608</f>
        <v>16.460697490000001</v>
      </c>
      <c r="G23" s="901">
        <f>'R5a - Financing input'!P608</f>
        <v>16.460697490000001</v>
      </c>
      <c r="H23" s="901">
        <f>'R5a - Financing input'!Q608</f>
        <v>16.460697490000001</v>
      </c>
      <c r="I23" s="337"/>
    </row>
    <row r="24" spans="2:9">
      <c r="B24" s="127" t="str">
        <f>'R5a - Financing input'!C609</f>
        <v>5. provision unwind added back</v>
      </c>
      <c r="C24" s="46" t="s">
        <v>230</v>
      </c>
      <c r="D24" s="901">
        <f>'R5a - Financing input'!M609</f>
        <v>-0.99296105000000001</v>
      </c>
      <c r="E24" s="901">
        <f>'R5a - Financing input'!N609</f>
        <v>-0.99296105000000001</v>
      </c>
      <c r="F24" s="901">
        <f>'R5a - Financing input'!O609</f>
        <v>-0.99296105000000001</v>
      </c>
      <c r="G24" s="901">
        <f>'R5a - Financing input'!P609</f>
        <v>-0.99296105000000001</v>
      </c>
      <c r="H24" s="901">
        <f>'R5a - Financing input'!Q609</f>
        <v>-0.99296105000000001</v>
      </c>
      <c r="I24" s="337"/>
    </row>
    <row r="25" spans="2:9">
      <c r="B25" s="127" t="str">
        <f>'R5a - Financing input'!C610</f>
        <v>6. other including roundings</v>
      </c>
      <c r="C25" s="46" t="s">
        <v>230</v>
      </c>
      <c r="D25" s="901">
        <f>'R5a - Financing input'!M610</f>
        <v>0</v>
      </c>
      <c r="E25" s="901">
        <f>'R5a - Financing input'!N610</f>
        <v>0</v>
      </c>
      <c r="F25" s="901">
        <f>'R5a - Financing input'!O610</f>
        <v>0</v>
      </c>
      <c r="G25" s="901">
        <f>'R5a - Financing input'!P610</f>
        <v>0</v>
      </c>
      <c r="H25" s="901">
        <f>'R5a - Financing input'!Q610</f>
        <v>0</v>
      </c>
      <c r="I25" s="337"/>
    </row>
    <row r="26" spans="2:9">
      <c r="B26" s="127" t="str">
        <f>'R5a - Financing input'!C611</f>
        <v>7. Consented loan to immediate parent undertaking</v>
      </c>
      <c r="C26" s="46" t="s">
        <v>230</v>
      </c>
      <c r="D26" s="901">
        <f>'R5a - Financing input'!M611</f>
        <v>45.793502945338702</v>
      </c>
      <c r="E26" s="901">
        <f>'R5a - Financing input'!N611</f>
        <v>45.793502945338702</v>
      </c>
      <c r="F26" s="901">
        <f>'R5a - Financing input'!O611</f>
        <v>45.793502945338702</v>
      </c>
      <c r="G26" s="901">
        <f>'R5a - Financing input'!P611</f>
        <v>45.793502945338702</v>
      </c>
      <c r="H26" s="901">
        <f>'R5a - Financing input'!Q611</f>
        <v>45.793502945338702</v>
      </c>
      <c r="I26" s="337"/>
    </row>
    <row r="27" spans="2:9">
      <c r="B27" s="127" t="str">
        <f>'R5a - Financing input'!C612</f>
        <v>8. IFRS 16 Right of Use Lease Liability</v>
      </c>
      <c r="C27" s="46" t="s">
        <v>230</v>
      </c>
      <c r="D27" s="901">
        <f>'R5a - Financing input'!M612</f>
        <v>-0.2</v>
      </c>
      <c r="E27" s="901">
        <f>'R5a - Financing input'!N612</f>
        <v>-0.2</v>
      </c>
      <c r="F27" s="901">
        <f>'R5a - Financing input'!O612</f>
        <v>-0.2</v>
      </c>
      <c r="G27" s="901">
        <f>'R5a - Financing input'!P612</f>
        <v>-0.2</v>
      </c>
      <c r="H27" s="901">
        <f>'R5a - Financing input'!Q612</f>
        <v>-0.2</v>
      </c>
      <c r="I27" s="337"/>
    </row>
    <row r="28" spans="2:9">
      <c r="B28" s="127" t="str">
        <f>'R5a - Financing input'!C613</f>
        <v>Other Adjustments [please specify]</v>
      </c>
      <c r="C28" s="46" t="s">
        <v>230</v>
      </c>
      <c r="D28" s="901">
        <f>'R5a - Financing input'!M613</f>
        <v>0</v>
      </c>
      <c r="E28" s="901">
        <f>'R5a - Financing input'!N613</f>
        <v>0</v>
      </c>
      <c r="F28" s="901">
        <f>'R5a - Financing input'!O613</f>
        <v>0</v>
      </c>
      <c r="G28" s="901">
        <f>'R5a - Financing input'!P613</f>
        <v>0</v>
      </c>
      <c r="H28" s="901">
        <f>'R5a - Financing input'!Q613</f>
        <v>0</v>
      </c>
      <c r="I28" s="337"/>
    </row>
    <row r="29" spans="2:9">
      <c r="B29" s="361" t="s">
        <v>275</v>
      </c>
      <c r="C29" s="46" t="s">
        <v>230</v>
      </c>
      <c r="D29" s="919">
        <f>SUM(D9,D12:D28)</f>
        <v>284.05630286487576</v>
      </c>
      <c r="E29" s="919">
        <f t="shared" ref="E29:H29" si="2">SUM(E9,E12:E28)</f>
        <v>370.77391795327372</v>
      </c>
      <c r="F29" s="919">
        <f t="shared" si="2"/>
        <v>240.75021426433511</v>
      </c>
      <c r="G29" s="919">
        <f t="shared" si="2"/>
        <v>189.48630478923539</v>
      </c>
      <c r="H29" s="919">
        <f t="shared" si="2"/>
        <v>189.77051998228387</v>
      </c>
      <c r="I29" s="337"/>
    </row>
    <row r="30" spans="2:9" ht="14">
      <c r="B30" s="128" t="s">
        <v>362</v>
      </c>
      <c r="C30" s="46" t="s">
        <v>230</v>
      </c>
      <c r="D30" s="914"/>
      <c r="E30" s="920">
        <v>27.3</v>
      </c>
      <c r="F30" s="920">
        <v>19.004999999999999</v>
      </c>
      <c r="G30" s="920">
        <v>22.720000000000002</v>
      </c>
      <c r="H30" s="920">
        <v>20.475000000000001</v>
      </c>
      <c r="I30" s="337"/>
    </row>
    <row r="31" spans="2:9">
      <c r="B31" s="361" t="s">
        <v>363</v>
      </c>
      <c r="C31" s="46" t="s">
        <v>230</v>
      </c>
      <c r="D31" s="919">
        <f>SUM(D29:D30)</f>
        <v>284.05630286487576</v>
      </c>
      <c r="E31" s="919">
        <f t="shared" ref="E31:H31" si="3">SUM(E29:E30)</f>
        <v>398.07391795327374</v>
      </c>
      <c r="F31" s="919">
        <f t="shared" si="3"/>
        <v>259.75521426433511</v>
      </c>
      <c r="G31" s="919">
        <f t="shared" si="3"/>
        <v>212.20630478923539</v>
      </c>
      <c r="H31" s="919">
        <f t="shared" si="3"/>
        <v>210.24551998228387</v>
      </c>
      <c r="I31" s="337"/>
    </row>
    <row r="32" spans="2:9">
      <c r="B32" s="52" t="s">
        <v>364</v>
      </c>
      <c r="C32" s="46" t="s">
        <v>230</v>
      </c>
      <c r="D32" s="920">
        <v>287.33119128953706</v>
      </c>
      <c r="E32" s="920">
        <v>398.07391795327374</v>
      </c>
      <c r="F32" s="920">
        <v>259.75521426433511</v>
      </c>
      <c r="G32" s="920">
        <v>212.20630478923539</v>
      </c>
      <c r="H32" s="920">
        <v>210.24551998228387</v>
      </c>
      <c r="I32" s="337"/>
    </row>
    <row r="33" spans="2:11">
      <c r="B33" s="52" t="s">
        <v>365</v>
      </c>
      <c r="C33" s="46" t="s">
        <v>230</v>
      </c>
      <c r="D33" s="920">
        <v>-3.2748884246612935</v>
      </c>
      <c r="E33" s="920">
        <v>0</v>
      </c>
      <c r="F33" s="920">
        <v>0</v>
      </c>
      <c r="G33" s="920">
        <v>0</v>
      </c>
      <c r="H33" s="920">
        <v>0</v>
      </c>
      <c r="I33" s="337"/>
    </row>
    <row r="34" spans="2:11">
      <c r="B34" s="52"/>
      <c r="D34" s="486" t="str">
        <f>IF(ABS(D31-SUM(D32:D33))&lt;Data!$F$7,"OK","ERROR")</f>
        <v>OK</v>
      </c>
      <c r="E34" s="486" t="str">
        <f>IF(ABS(E31-SUM(E32:E33))&lt;Data!$F$7,"OK","ERROR")</f>
        <v>OK</v>
      </c>
      <c r="F34" s="486" t="str">
        <f>IF(ABS(F31-SUM(F32:F33))&lt;Data!$F$7,"OK","ERROR")</f>
        <v>OK</v>
      </c>
      <c r="G34" s="486" t="str">
        <f>IF(ABS(G31-SUM(G32:G33))&lt;Data!$F$7,"OK","ERROR")</f>
        <v>OK</v>
      </c>
      <c r="H34" s="486" t="str">
        <f>IF(ABS(H31-SUM(H32:H33))&lt;Data!$F$7,"OK","ERROR")</f>
        <v>OK</v>
      </c>
      <c r="I34" s="337"/>
    </row>
    <row r="35" spans="2:11">
      <c r="D35" s="921"/>
      <c r="E35" s="921"/>
      <c r="F35" s="921"/>
      <c r="G35" s="921"/>
      <c r="H35" s="921"/>
      <c r="I35" s="337"/>
    </row>
    <row r="36" spans="2:11">
      <c r="B36" s="52" t="s">
        <v>366</v>
      </c>
      <c r="C36" s="46" t="s">
        <v>230</v>
      </c>
      <c r="D36" s="920">
        <v>158.16325796742311</v>
      </c>
      <c r="E36" s="920">
        <v>266.05288654067994</v>
      </c>
      <c r="F36" s="920">
        <v>117.03705606415365</v>
      </c>
      <c r="G36" s="920">
        <v>64.168868030506701</v>
      </c>
      <c r="H36" s="920">
        <v>68.746175635578027</v>
      </c>
      <c r="I36" s="337"/>
    </row>
    <row r="37" spans="2:11">
      <c r="D37" s="922"/>
      <c r="E37" s="922"/>
      <c r="F37" s="922"/>
      <c r="G37" s="922"/>
      <c r="H37" s="922"/>
      <c r="I37" s="337"/>
    </row>
    <row r="38" spans="2:11">
      <c r="B38" s="52" t="s">
        <v>367</v>
      </c>
      <c r="C38" s="46" t="s">
        <v>230</v>
      </c>
      <c r="D38" s="923">
        <f>('R6 - Net Debt'!D$55-AVERAGE('R6 - Net Debt'!D$9,('R6 - Net Debt'!D$11-'R6a - Net Debt input'!T$18)))*(INDEX(YEFactor_change,MATCH('R5 - Financing'!D$6,calendar_year,0))-1)</f>
        <v>161.56038835990987</v>
      </c>
      <c r="E38" s="923">
        <f>('R6 - Net Debt'!E$55-AVERAGE('R6 - Net Debt'!E$9,('R6 - Net Debt'!E$11-'R6a - Net Debt input'!U$18)))*(INDEX(YEFactor_change,MATCH('R5 - Financing'!E$6,calendar_year,0))-1)</f>
        <v>291.24001701766815</v>
      </c>
      <c r="F38" s="923">
        <f>('R6 - Net Debt'!F$55-AVERAGE('R6 - Net Debt'!F$9,('R6 - Net Debt'!F$11-'R6a - Net Debt input'!V$18)))*(INDEX(YEFactor_change,MATCH('R5 - Financing'!F$6,calendar_year,0))-1)</f>
        <v>138.58051238055063</v>
      </c>
      <c r="G38" s="923">
        <f>('R6 - Net Debt'!G$55-AVERAGE('R6 - Net Debt'!G$9,('R6 - Net Debt'!G$11-'R6a - Net Debt input'!W$18)))*(INDEX(YEFactor_change,MATCH('R5 - Financing'!G$6,calendar_year,0))-1)</f>
        <v>71.312309615873801</v>
      </c>
      <c r="H38" s="923">
        <f>('R6 - Net Debt'!H$55-AVERAGE('R6 - Net Debt'!H$9,('R6 - Net Debt'!H$11-'R6a - Net Debt input'!X$18)))*(INDEX(YEFactor_change,MATCH('R5 - Financing'!H$6,calendar_year,0))-1)</f>
        <v>80.380562814964776</v>
      </c>
      <c r="I38" s="337"/>
      <c r="K38" s="78"/>
    </row>
    <row r="39" spans="2:11">
      <c r="B39" s="52"/>
      <c r="C39" s="46"/>
      <c r="D39" s="924"/>
      <c r="E39" s="924"/>
      <c r="F39" s="924"/>
      <c r="G39" s="924"/>
      <c r="H39" s="924"/>
      <c r="I39" s="337"/>
      <c r="K39" s="78"/>
    </row>
    <row r="40" spans="2:11">
      <c r="B40" s="52" t="s">
        <v>368</v>
      </c>
      <c r="C40" s="46" t="s">
        <v>230</v>
      </c>
      <c r="D40" s="873">
        <f>D31-D38</f>
        <v>122.4959145049659</v>
      </c>
      <c r="E40" s="873">
        <f t="shared" ref="E40:H40" si="4">E31-E38</f>
        <v>106.83390093560558</v>
      </c>
      <c r="F40" s="873">
        <f t="shared" si="4"/>
        <v>121.17470188378448</v>
      </c>
      <c r="G40" s="873">
        <f t="shared" si="4"/>
        <v>140.89399517336159</v>
      </c>
      <c r="H40" s="873">
        <f t="shared" si="4"/>
        <v>129.86495716731909</v>
      </c>
    </row>
    <row r="41" spans="2:11">
      <c r="B41" s="52"/>
      <c r="C41" s="46"/>
      <c r="D41" s="46"/>
      <c r="E41" s="46"/>
      <c r="F41" s="46"/>
      <c r="G41" s="46"/>
      <c r="H41" s="46"/>
      <c r="I41" s="46"/>
      <c r="K41" s="78"/>
    </row>
    <row r="42" spans="2:11">
      <c r="B42" s="274" t="s">
        <v>369</v>
      </c>
      <c r="C42" s="46" t="s">
        <v>370</v>
      </c>
      <c r="D42" s="925">
        <f t="shared" ref="D42:H42" si="5">INDEX(real_to_nominal_CF,MATCH(D$6,calendar_year,0))</f>
        <v>1.0847835302284383</v>
      </c>
      <c r="E42" s="925">
        <f t="shared" si="5"/>
        <v>1.1682111694202062</v>
      </c>
      <c r="F42" s="925">
        <f t="shared" si="5"/>
        <v>1.2070548174037865</v>
      </c>
      <c r="G42" s="925">
        <f t="shared" si="5"/>
        <v>1.2275072378847331</v>
      </c>
      <c r="H42" s="925">
        <f t="shared" si="5"/>
        <v>1.2509585044470788</v>
      </c>
      <c r="I42" s="46"/>
      <c r="K42" s="78"/>
    </row>
    <row r="43" spans="2:11">
      <c r="I43" s="31"/>
      <c r="J43" s="31"/>
      <c r="K43" s="31"/>
    </row>
    <row r="44" spans="2:11">
      <c r="B44" s="240" t="s">
        <v>371</v>
      </c>
      <c r="C44" s="48" t="str">
        <f>Data!$C$9</f>
        <v>£m 18/19</v>
      </c>
      <c r="D44" s="919">
        <f t="shared" ref="D44:H44" si="6">D40/D42</f>
        <v>112.92198958733286</v>
      </c>
      <c r="E44" s="919">
        <f t="shared" si="6"/>
        <v>91.450847014780919</v>
      </c>
      <c r="F44" s="919">
        <f t="shared" si="6"/>
        <v>100.38873142846575</v>
      </c>
      <c r="G44" s="919">
        <f t="shared" si="6"/>
        <v>114.78058199978776</v>
      </c>
      <c r="H44" s="919">
        <f t="shared" si="6"/>
        <v>103.81236204530953</v>
      </c>
      <c r="I44" s="916">
        <f>SUM(D44:INDEX(D44:H44,0,MATCH('RFPR cover'!$C$9,$D$6:$H$6,0)))</f>
        <v>112.92198958733286</v>
      </c>
      <c r="J44" s="916">
        <f>SUM(D44:H44)</f>
        <v>523.35451207567678</v>
      </c>
    </row>
    <row r="45" spans="2:11">
      <c r="B45" s="52"/>
      <c r="C45" s="31"/>
      <c r="D45" s="926"/>
      <c r="E45" s="926"/>
      <c r="F45" s="926"/>
      <c r="G45" s="926"/>
      <c r="H45" s="926"/>
      <c r="I45" s="261"/>
      <c r="J45" s="261"/>
    </row>
    <row r="46" spans="2:11">
      <c r="B46" s="240" t="s">
        <v>372</v>
      </c>
      <c r="C46" s="46"/>
      <c r="D46" s="926"/>
      <c r="E46" s="926"/>
      <c r="F46" s="926"/>
      <c r="G46" s="926"/>
      <c r="H46" s="926"/>
      <c r="I46" s="261"/>
      <c r="J46" s="261"/>
    </row>
    <row r="47" spans="2:11">
      <c r="B47" s="127" t="str">
        <f>'R5a - Financing input'!C616</f>
        <v>Add back Debt Issuance expenses</v>
      </c>
      <c r="C47" s="46" t="s">
        <v>230</v>
      </c>
      <c r="D47" s="923">
        <f>'R5a - Financing input'!M616</f>
        <v>0</v>
      </c>
      <c r="E47" s="923">
        <f>'R5a - Financing input'!N616</f>
        <v>0</v>
      </c>
      <c r="F47" s="923">
        <f>'R5a - Financing input'!O616</f>
        <v>0</v>
      </c>
      <c r="G47" s="923">
        <f>'R5a - Financing input'!P616</f>
        <v>0</v>
      </c>
      <c r="H47" s="923">
        <f>'R5a - Financing input'!Q616</f>
        <v>0</v>
      </c>
      <c r="I47" s="916">
        <f>SUM(D47:INDEX(D47:H47,0,MATCH('RFPR cover'!$C$9,$D$6:$H$6,0)))</f>
        <v>0</v>
      </c>
      <c r="J47" s="916">
        <f t="shared" ref="J47:J54" si="7">SUM(D47:H47)</f>
        <v>0</v>
      </c>
    </row>
    <row r="48" spans="2:11" ht="14">
      <c r="B48" s="127" t="s">
        <v>373</v>
      </c>
      <c r="C48" s="46" t="s">
        <v>230</v>
      </c>
      <c r="D48" s="914"/>
      <c r="E48" s="920">
        <v>1.54</v>
      </c>
      <c r="F48" s="920">
        <v>1.76</v>
      </c>
      <c r="G48" s="920">
        <v>1.54</v>
      </c>
      <c r="H48" s="920">
        <v>1.7050000000000001</v>
      </c>
      <c r="I48" s="916">
        <f>SUM(D48:INDEX(D48:H48,0,MATCH('RFPR cover'!$C$9,$D$6:$H$6,0)))</f>
        <v>0</v>
      </c>
      <c r="J48" s="916">
        <f t="shared" si="7"/>
        <v>6.5449999999999999</v>
      </c>
    </row>
    <row r="49" spans="1:11">
      <c r="B49" s="127" t="str">
        <f>'R5a - Financing input'!C617</f>
        <v>Costs of early redemption on long term debt (excluding exceptional costs of buy backs associated with M&amp;A activity)</v>
      </c>
      <c r="C49" s="46" t="s">
        <v>230</v>
      </c>
      <c r="D49" s="923">
        <f>'R5a - Financing input'!M617</f>
        <v>0</v>
      </c>
      <c r="E49" s="923">
        <f>'R5a - Financing input'!N617</f>
        <v>0</v>
      </c>
      <c r="F49" s="923">
        <f>'R5a - Financing input'!O617</f>
        <v>0</v>
      </c>
      <c r="G49" s="923">
        <f>'R5a - Financing input'!P617</f>
        <v>0</v>
      </c>
      <c r="H49" s="923">
        <f>'R5a - Financing input'!Q617</f>
        <v>0</v>
      </c>
      <c r="I49" s="916">
        <f>SUM(D49:INDEX(D49:H49,0,MATCH('RFPR cover'!$C$9,$D$6:$H$6,0)))</f>
        <v>0</v>
      </c>
      <c r="J49" s="916">
        <f t="shared" si="7"/>
        <v>0</v>
      </c>
    </row>
    <row r="50" spans="1:11">
      <c r="B50" s="127" t="str">
        <f>'R5a - Financing input'!C618</f>
        <v>Add accrual for inflation accretion on index-linked swaps (if applicable)</v>
      </c>
      <c r="C50" s="46" t="s">
        <v>230</v>
      </c>
      <c r="D50" s="923">
        <f>'R5a - Financing input'!M618</f>
        <v>0</v>
      </c>
      <c r="E50" s="923">
        <f>'R5a - Financing input'!N618</f>
        <v>0</v>
      </c>
      <c r="F50" s="923">
        <f>'R5a - Financing input'!O618</f>
        <v>0</v>
      </c>
      <c r="G50" s="923">
        <f>'R5a - Financing input'!P618</f>
        <v>0</v>
      </c>
      <c r="H50" s="923">
        <f>'R5a - Financing input'!Q618</f>
        <v>0</v>
      </c>
      <c r="I50" s="916">
        <f>SUM(D50:INDEX(D50:H50,0,MATCH('RFPR cover'!$C$9,$D$6:$H$6,0)))</f>
        <v>0</v>
      </c>
      <c r="J50" s="916">
        <f t="shared" si="7"/>
        <v>0</v>
      </c>
    </row>
    <row r="51" spans="1:11">
      <c r="B51" s="576" t="str">
        <f>'R5a - Financing input'!C619</f>
        <v>Other Adjustments [please specify]</v>
      </c>
      <c r="C51" s="46" t="s">
        <v>230</v>
      </c>
      <c r="D51" s="923">
        <f>'R5a - Financing input'!M619</f>
        <v>0</v>
      </c>
      <c r="E51" s="923">
        <f>'R5a - Financing input'!N619</f>
        <v>0</v>
      </c>
      <c r="F51" s="923">
        <f>'R5a - Financing input'!O619</f>
        <v>0</v>
      </c>
      <c r="G51" s="923">
        <f>'R5a - Financing input'!P619</f>
        <v>0</v>
      </c>
      <c r="H51" s="923">
        <f>'R5a - Financing input'!Q619</f>
        <v>0</v>
      </c>
      <c r="I51" s="916">
        <f>SUM(D51:INDEX(D51:H51,0,MATCH('RFPR cover'!$C$9,$D$6:$H$6,0)))</f>
        <v>0</v>
      </c>
      <c r="J51" s="916">
        <f t="shared" si="7"/>
        <v>0</v>
      </c>
    </row>
    <row r="52" spans="1:11">
      <c r="B52" s="576" t="str">
        <f>'R5a - Financing input'!C620</f>
        <v>Other Adjustments [please specify]</v>
      </c>
      <c r="C52" s="46" t="s">
        <v>230</v>
      </c>
      <c r="D52" s="923">
        <f>'R5a - Financing input'!M620</f>
        <v>0</v>
      </c>
      <c r="E52" s="923">
        <f>'R5a - Financing input'!N620</f>
        <v>0</v>
      </c>
      <c r="F52" s="923">
        <f>'R5a - Financing input'!O620</f>
        <v>0</v>
      </c>
      <c r="G52" s="923">
        <f>'R5a - Financing input'!P620</f>
        <v>0</v>
      </c>
      <c r="H52" s="923">
        <f>'R5a - Financing input'!Q620</f>
        <v>0</v>
      </c>
      <c r="I52" s="916">
        <f>SUM(D52:INDEX(D52:H52,0,MATCH('RFPR cover'!$C$9,$D$6:$H$6,0)))</f>
        <v>0</v>
      </c>
      <c r="J52" s="916">
        <f t="shared" si="7"/>
        <v>0</v>
      </c>
    </row>
    <row r="53" spans="1:11">
      <c r="B53" s="576" t="str">
        <f>'R5a - Financing input'!C621</f>
        <v>Other Adjustments [please specify]</v>
      </c>
      <c r="C53" s="46" t="s">
        <v>230</v>
      </c>
      <c r="D53" s="923">
        <f>'R5a - Financing input'!M621</f>
        <v>0</v>
      </c>
      <c r="E53" s="923">
        <f>'R5a - Financing input'!N621</f>
        <v>0</v>
      </c>
      <c r="F53" s="923">
        <f>'R5a - Financing input'!O621</f>
        <v>0</v>
      </c>
      <c r="G53" s="923">
        <f>'R5a - Financing input'!P621</f>
        <v>0</v>
      </c>
      <c r="H53" s="923">
        <f>'R5a - Financing input'!Q621</f>
        <v>0</v>
      </c>
      <c r="I53" s="916">
        <f>SUM(D53:INDEX(D53:H53,0,MATCH('RFPR cover'!$C$9,$D$6:$H$6,0)))</f>
        <v>0</v>
      </c>
      <c r="J53" s="916">
        <f t="shared" si="7"/>
        <v>0</v>
      </c>
    </row>
    <row r="54" spans="1:11">
      <c r="B54" s="576" t="str">
        <f>'R5a - Financing input'!C622</f>
        <v>Other Adjustments [please specify]</v>
      </c>
      <c r="C54" s="46" t="s">
        <v>230</v>
      </c>
      <c r="D54" s="923">
        <f>'R5a - Financing input'!M622</f>
        <v>0</v>
      </c>
      <c r="E54" s="923">
        <f>'R5a - Financing input'!N622</f>
        <v>0</v>
      </c>
      <c r="F54" s="923">
        <f>'R5a - Financing input'!O622</f>
        <v>0</v>
      </c>
      <c r="G54" s="923">
        <f>'R5a - Financing input'!P622</f>
        <v>0</v>
      </c>
      <c r="H54" s="923">
        <f>'R5a - Financing input'!Q622</f>
        <v>0</v>
      </c>
      <c r="I54" s="916">
        <f>SUM(D54:INDEX(D54:H54,0,MATCH('RFPR cover'!$C$9,$D$6:$H$6,0)))</f>
        <v>0</v>
      </c>
      <c r="J54" s="916">
        <f t="shared" si="7"/>
        <v>0</v>
      </c>
    </row>
    <row r="55" spans="1:11" s="22" customFormat="1">
      <c r="B55" s="282"/>
      <c r="C55" s="283"/>
      <c r="D55" s="927"/>
      <c r="E55" s="927"/>
      <c r="F55" s="927"/>
      <c r="G55" s="927"/>
      <c r="H55" s="927"/>
      <c r="I55" s="535"/>
      <c r="J55" s="535"/>
    </row>
    <row r="56" spans="1:11">
      <c r="B56" s="276" t="s">
        <v>374</v>
      </c>
      <c r="C56" s="66" t="s">
        <v>230</v>
      </c>
      <c r="D56" s="919">
        <f>SUM(D47:D54)</f>
        <v>0</v>
      </c>
      <c r="E56" s="919">
        <f t="shared" ref="E56:H56" si="8">SUM(E47:E54)</f>
        <v>1.54</v>
      </c>
      <c r="F56" s="919">
        <f t="shared" si="8"/>
        <v>1.76</v>
      </c>
      <c r="G56" s="919">
        <f t="shared" si="8"/>
        <v>1.54</v>
      </c>
      <c r="H56" s="919">
        <f t="shared" si="8"/>
        <v>1.7050000000000001</v>
      </c>
      <c r="I56" s="916">
        <f>SUM(D56:INDEX(D56:H56,0,MATCH('RFPR cover'!$C$9,$D$6:$H$6,0)))</f>
        <v>0</v>
      </c>
      <c r="J56" s="916">
        <f>SUM(D56:H56)</f>
        <v>6.5449999999999999</v>
      </c>
    </row>
    <row r="57" spans="1:11">
      <c r="B57" s="276" t="s">
        <v>374</v>
      </c>
      <c r="C57" s="48" t="str">
        <f>Data!$C$9</f>
        <v>£m 18/19</v>
      </c>
      <c r="D57" s="919">
        <f>D56/D42</f>
        <v>0</v>
      </c>
      <c r="E57" s="919">
        <f t="shared" ref="E57:H57" si="9">E56/E42</f>
        <v>1.3182548158346372</v>
      </c>
      <c r="F57" s="919">
        <f t="shared" si="9"/>
        <v>1.4580945079077059</v>
      </c>
      <c r="G57" s="919">
        <f t="shared" si="9"/>
        <v>1.2545750871935886</v>
      </c>
      <c r="H57" s="919">
        <f t="shared" si="9"/>
        <v>1.3629548813480481</v>
      </c>
      <c r="I57" s="916">
        <f>SUM(D57:INDEX(D57:H57,0,MATCH('RFPR cover'!$C$9,$D$6:$H$6,0)))</f>
        <v>0</v>
      </c>
      <c r="J57" s="916">
        <f>SUM(D57:H57)</f>
        <v>5.3938792922839793</v>
      </c>
    </row>
    <row r="58" spans="1:11">
      <c r="B58" s="52"/>
      <c r="C58" s="31"/>
      <c r="D58" s="926"/>
      <c r="E58" s="926"/>
      <c r="F58" s="926"/>
      <c r="G58" s="926"/>
      <c r="H58" s="926"/>
      <c r="I58" s="261"/>
      <c r="J58" s="261"/>
    </row>
    <row r="59" spans="1:11" s="2" customFormat="1">
      <c r="A59" s="1"/>
      <c r="D59" s="337"/>
      <c r="E59" s="337"/>
      <c r="F59" s="337"/>
      <c r="G59" s="337"/>
      <c r="H59" s="337"/>
      <c r="I59" s="337"/>
      <c r="J59" s="337"/>
    </row>
    <row r="60" spans="1:11" s="2" customFormat="1">
      <c r="A60" s="1"/>
      <c r="B60" s="262" t="s">
        <v>375</v>
      </c>
      <c r="C60" s="33"/>
      <c r="D60" s="891"/>
      <c r="E60" s="891"/>
      <c r="F60" s="891"/>
      <c r="G60" s="891"/>
      <c r="H60" s="891"/>
      <c r="I60" s="891"/>
      <c r="J60" s="891"/>
      <c r="K60" s="33"/>
    </row>
    <row r="61" spans="1:11" s="2" customFormat="1">
      <c r="A61" s="1"/>
      <c r="B61" s="126" t="s">
        <v>376</v>
      </c>
      <c r="C61" s="558"/>
      <c r="D61" s="928"/>
      <c r="E61" s="928"/>
      <c r="F61" s="928"/>
      <c r="G61" s="928"/>
      <c r="H61" s="928"/>
      <c r="I61" s="928"/>
      <c r="J61" s="928"/>
      <c r="K61" s="558"/>
    </row>
    <row r="62" spans="1:11" s="2" customFormat="1">
      <c r="A62" s="1"/>
      <c r="D62" s="337"/>
      <c r="E62" s="337"/>
      <c r="F62" s="337"/>
      <c r="G62" s="337"/>
      <c r="H62" s="337"/>
      <c r="I62" s="337"/>
      <c r="J62" s="337"/>
    </row>
    <row r="63" spans="1:11">
      <c r="B63" s="52" t="s">
        <v>24</v>
      </c>
      <c r="C63" s="31" t="s">
        <v>194</v>
      </c>
      <c r="D63" s="929">
        <f>Data!$C$8</f>
        <v>0.6</v>
      </c>
      <c r="E63" s="929">
        <f>Data!$C$8</f>
        <v>0.6</v>
      </c>
      <c r="F63" s="929">
        <f>Data!$C$8</f>
        <v>0.6</v>
      </c>
      <c r="G63" s="929">
        <f>Data!$C$8</f>
        <v>0.6</v>
      </c>
      <c r="H63" s="929">
        <f>Data!$C$8</f>
        <v>0.6</v>
      </c>
      <c r="I63" s="337"/>
      <c r="K63" s="78"/>
    </row>
    <row r="64" spans="1:11">
      <c r="B64" s="52" t="s">
        <v>377</v>
      </c>
      <c r="C64" s="31" t="s">
        <v>194</v>
      </c>
      <c r="D64" s="929">
        <f>'R6 - Net Debt'!D65</f>
        <v>0.55888936000945066</v>
      </c>
      <c r="E64" s="929">
        <f>'R6 - Net Debt'!E65</f>
        <v>0.56344747156135599</v>
      </c>
      <c r="F64" s="929">
        <f>'R6 - Net Debt'!F65</f>
        <v>0.59847550718294584</v>
      </c>
      <c r="G64" s="929">
        <f>'R6 - Net Debt'!G65</f>
        <v>0.59766785942810341</v>
      </c>
      <c r="H64" s="929">
        <f>'R6 - Net Debt'!H65</f>
        <v>0.59885821354554525</v>
      </c>
      <c r="I64" s="337"/>
      <c r="K64" s="78"/>
    </row>
    <row r="65" spans="2:12">
      <c r="B65" s="52"/>
      <c r="C65" s="31"/>
      <c r="D65" s="31"/>
      <c r="E65" s="31"/>
      <c r="F65" s="31"/>
      <c r="G65" s="31"/>
      <c r="H65" s="31"/>
      <c r="I65" s="337"/>
      <c r="K65" s="78"/>
    </row>
    <row r="66" spans="2:12">
      <c r="B66" s="52" t="s">
        <v>371</v>
      </c>
      <c r="C66" s="46" t="s">
        <v>230</v>
      </c>
      <c r="D66" s="873">
        <f t="shared" ref="D66:H66" si="10">D40</f>
        <v>122.4959145049659</v>
      </c>
      <c r="E66" s="873">
        <f t="shared" si="10"/>
        <v>106.83390093560558</v>
      </c>
      <c r="F66" s="873">
        <f t="shared" si="10"/>
        <v>121.17470188378448</v>
      </c>
      <c r="G66" s="873">
        <f t="shared" si="10"/>
        <v>140.89399517336159</v>
      </c>
      <c r="H66" s="873">
        <f t="shared" si="10"/>
        <v>129.86495716731909</v>
      </c>
    </row>
    <row r="67" spans="2:12">
      <c r="B67" s="52" t="s">
        <v>378</v>
      </c>
      <c r="C67" s="46" t="s">
        <v>230</v>
      </c>
      <c r="D67" s="873">
        <f>((D63-D64)/D64)*D66</f>
        <v>9.0105230155779061</v>
      </c>
      <c r="E67" s="873">
        <f t="shared" ref="E67:H67" si="11">((E63-E64)/E64)*E66</f>
        <v>6.9306357722021668</v>
      </c>
      <c r="F67" s="873">
        <f t="shared" si="11"/>
        <v>0.30866754013048714</v>
      </c>
      <c r="G67" s="873">
        <f t="shared" si="11"/>
        <v>0.54977793651947748</v>
      </c>
      <c r="H67" s="873">
        <f t="shared" si="11"/>
        <v>0.24760126128037407</v>
      </c>
      <c r="K67" s="78"/>
    </row>
    <row r="68" spans="2:12">
      <c r="B68" s="52" t="s">
        <v>379</v>
      </c>
      <c r="C68" s="46" t="s">
        <v>230</v>
      </c>
      <c r="D68" s="873">
        <f>SUM(D66:D67)</f>
        <v>131.50643752054381</v>
      </c>
      <c r="E68" s="873">
        <f t="shared" ref="E68:H68" si="12">SUM(E66:E67)</f>
        <v>113.76453670780775</v>
      </c>
      <c r="F68" s="873">
        <f t="shared" si="12"/>
        <v>121.48336942391497</v>
      </c>
      <c r="G68" s="873">
        <f t="shared" si="12"/>
        <v>141.44377310988108</v>
      </c>
      <c r="H68" s="873">
        <f t="shared" si="12"/>
        <v>130.11255842859947</v>
      </c>
    </row>
    <row r="69" spans="2:12">
      <c r="B69" s="52"/>
      <c r="C69" s="46"/>
      <c r="D69" s="46"/>
      <c r="E69" s="46"/>
      <c r="F69" s="46"/>
      <c r="G69" s="46"/>
      <c r="H69" s="46"/>
      <c r="I69" s="46"/>
      <c r="J69" s="46"/>
      <c r="K69" s="46"/>
      <c r="L69" s="46"/>
    </row>
    <row r="70" spans="2:12">
      <c r="B70" s="240" t="s">
        <v>379</v>
      </c>
      <c r="C70" s="48" t="str">
        <f>Data!$C$9</f>
        <v>£m 18/19</v>
      </c>
      <c r="D70" s="919">
        <f t="shared" ref="D70:H70" si="13">D68/D42</f>
        <v>121.22827629292144</v>
      </c>
      <c r="E70" s="919">
        <f t="shared" si="13"/>
        <v>97.383537913158392</v>
      </c>
      <c r="F70" s="919">
        <f t="shared" si="13"/>
        <v>100.64445099950758</v>
      </c>
      <c r="G70" s="919">
        <f t="shared" si="13"/>
        <v>115.22846362488259</v>
      </c>
      <c r="H70" s="919">
        <f t="shared" si="13"/>
        <v>104.01029128149136</v>
      </c>
      <c r="I70" s="916">
        <f>SUM(D70:INDEX(D70:H70,0,MATCH('RFPR cover'!$C$9,$D$6:$H$6,0)))</f>
        <v>121.22827629292144</v>
      </c>
      <c r="J70" s="916">
        <f>SUM(D70:H70)</f>
        <v>538.49502011196137</v>
      </c>
    </row>
    <row r="71" spans="2:12">
      <c r="B71" s="52" t="s">
        <v>380</v>
      </c>
      <c r="C71" s="31" t="str">
        <f>Data!$C$9</f>
        <v>£m 18/19</v>
      </c>
      <c r="D71" s="873">
        <f>D57*((D63-D64)/D64)+D57</f>
        <v>0</v>
      </c>
      <c r="E71" s="873">
        <f t="shared" ref="E71:H71" si="14">E57*((E63-E64)/E64)+E57</f>
        <v>1.4037739619435887</v>
      </c>
      <c r="F71" s="873">
        <f t="shared" si="14"/>
        <v>1.4618087026862934</v>
      </c>
      <c r="G71" s="873">
        <f t="shared" si="14"/>
        <v>1.2594705243752609</v>
      </c>
      <c r="H71" s="873">
        <f t="shared" si="14"/>
        <v>1.365553498827706</v>
      </c>
      <c r="I71" s="823">
        <f>SUM(D71:INDEX(D71:H71,0,MATCH('RFPR cover'!$C$9,$D$6:$H$6,0)))</f>
        <v>0</v>
      </c>
      <c r="J71" s="823">
        <f>SUM(D71:H71)</f>
        <v>5.4906066878328499</v>
      </c>
      <c r="K71" s="31"/>
    </row>
    <row r="73" spans="2:12">
      <c r="B73" s="258" t="s">
        <v>381</v>
      </c>
      <c r="C73" s="259"/>
      <c r="D73" s="259"/>
      <c r="E73" s="259"/>
      <c r="F73" s="259"/>
      <c r="G73" s="259"/>
      <c r="H73" s="259"/>
      <c r="I73" s="259"/>
      <c r="J73" s="259"/>
      <c r="K73" s="259"/>
      <c r="L73" s="31"/>
    </row>
    <row r="74" spans="2:12">
      <c r="B74" s="260"/>
      <c r="C74" s="31"/>
      <c r="D74" s="31"/>
      <c r="E74" s="31"/>
      <c r="F74" s="31"/>
      <c r="G74" s="31"/>
      <c r="H74" s="31"/>
      <c r="I74" s="31"/>
      <c r="J74" s="31"/>
      <c r="K74" s="31"/>
      <c r="L74" s="31"/>
    </row>
    <row r="75" spans="2:12">
      <c r="B75" s="126" t="s">
        <v>382</v>
      </c>
      <c r="C75" s="125"/>
      <c r="D75" s="930"/>
      <c r="E75" s="930"/>
      <c r="F75" s="930"/>
      <c r="G75" s="930"/>
      <c r="H75" s="930"/>
      <c r="I75" s="930"/>
      <c r="J75" s="930"/>
      <c r="K75" s="125"/>
      <c r="L75" s="31"/>
    </row>
    <row r="76" spans="2:12">
      <c r="B76" s="129"/>
      <c r="C76" s="129"/>
      <c r="D76" s="931"/>
      <c r="E76" s="931"/>
      <c r="F76" s="931"/>
      <c r="G76" s="931"/>
      <c r="H76" s="931"/>
      <c r="I76" s="931"/>
      <c r="J76" s="931"/>
      <c r="K76" s="129"/>
      <c r="L76" s="31"/>
    </row>
    <row r="77" spans="2:12">
      <c r="B77" s="52" t="s">
        <v>383</v>
      </c>
      <c r="C77" s="31" t="str">
        <f>Data!$C$9</f>
        <v>£m 18/19</v>
      </c>
      <c r="D77" s="843">
        <f>'R7 - RAV'!E43</f>
        <v>70.907613909204102</v>
      </c>
      <c r="E77" s="843">
        <f>'R7 - RAV'!F43</f>
        <v>64.974693831883513</v>
      </c>
      <c r="F77" s="843">
        <f>'R7 - RAV'!G43</f>
        <v>62.49960827090554</v>
      </c>
      <c r="G77" s="843">
        <f>'R7 - RAV'!H43</f>
        <v>60.328203691615585</v>
      </c>
      <c r="H77" s="843">
        <f>'R7 - RAV'!I43</f>
        <v>58.107682154179699</v>
      </c>
      <c r="I77" s="931"/>
      <c r="J77" s="289"/>
      <c r="L77" s="31"/>
    </row>
    <row r="78" spans="2:12">
      <c r="B78" s="52"/>
      <c r="C78" s="31"/>
      <c r="D78" s="899"/>
      <c r="E78" s="899"/>
      <c r="F78" s="899"/>
      <c r="G78" s="899"/>
      <c r="H78" s="899"/>
      <c r="I78" s="931"/>
      <c r="J78" s="261"/>
      <c r="L78" s="31"/>
    </row>
    <row r="79" spans="2:12">
      <c r="B79" s="52"/>
      <c r="C79" s="31"/>
      <c r="D79" s="932"/>
      <c r="E79" s="933"/>
      <c r="F79" s="933"/>
      <c r="G79" s="933"/>
      <c r="H79" s="933"/>
      <c r="I79" s="261"/>
      <c r="J79" s="261"/>
      <c r="L79" s="31"/>
    </row>
    <row r="80" spans="2:12">
      <c r="B80" s="263" t="s">
        <v>384</v>
      </c>
      <c r="C80" s="259"/>
      <c r="D80" s="259"/>
      <c r="E80" s="259"/>
      <c r="F80" s="259"/>
      <c r="G80" s="259"/>
      <c r="H80" s="259"/>
      <c r="I80" s="259"/>
      <c r="J80" s="259"/>
      <c r="K80" s="259"/>
    </row>
    <row r="81" spans="2:11">
      <c r="B81" s="52"/>
      <c r="C81" s="31"/>
      <c r="D81" s="31"/>
      <c r="E81" s="31"/>
      <c r="F81" s="31"/>
      <c r="G81" s="31"/>
      <c r="H81" s="31"/>
      <c r="I81" s="31"/>
      <c r="J81" s="31"/>
      <c r="K81" s="31"/>
    </row>
    <row r="82" spans="2:11">
      <c r="B82" s="8" t="s">
        <v>385</v>
      </c>
      <c r="C82" s="31"/>
      <c r="D82" s="31"/>
      <c r="E82" s="31"/>
      <c r="F82" s="31"/>
      <c r="G82" s="31"/>
      <c r="H82" s="31"/>
      <c r="I82" s="31"/>
      <c r="J82" s="31"/>
      <c r="K82" s="31"/>
    </row>
    <row r="83" spans="2:11">
      <c r="B83" s="52" t="s">
        <v>386</v>
      </c>
      <c r="C83" s="31" t="str">
        <f>Data!$C$9</f>
        <v>£m 18/19</v>
      </c>
      <c r="D83" s="919">
        <f>D77-D44-D57</f>
        <v>-42.014375678128758</v>
      </c>
      <c r="E83" s="919">
        <f>E77-E44-E57</f>
        <v>-27.794407998732044</v>
      </c>
      <c r="F83" s="919">
        <f>F77-F44-F57</f>
        <v>-39.347217665467909</v>
      </c>
      <c r="G83" s="919">
        <f>G77-G44-G57</f>
        <v>-55.706953395365758</v>
      </c>
      <c r="H83" s="919">
        <f>H77-H44-H57</f>
        <v>-47.067634772477874</v>
      </c>
      <c r="I83" s="916">
        <f>SUM(D83:INDEX(D83:H83,0,MATCH('RFPR cover'!$C$9,$D$6:$H$6,0)))</f>
        <v>-42.014375678128758</v>
      </c>
      <c r="J83" s="916">
        <f>SUM(D83:H83)</f>
        <v>-211.93058951017233</v>
      </c>
      <c r="K83" s="31"/>
    </row>
    <row r="84" spans="2:11">
      <c r="B84" s="52"/>
      <c r="D84" s="888"/>
      <c r="E84" s="888"/>
      <c r="F84" s="888"/>
      <c r="G84" s="888"/>
      <c r="H84" s="888"/>
      <c r="I84" s="888"/>
      <c r="J84" s="888"/>
      <c r="K84" s="31"/>
    </row>
    <row r="85" spans="2:11">
      <c r="B85" s="52" t="s">
        <v>387</v>
      </c>
      <c r="C85" s="31" t="str">
        <f>Data!$C$9</f>
        <v>£m 18/19</v>
      </c>
      <c r="D85" s="919">
        <f>D77-D70-D71</f>
        <v>-50.320662383717334</v>
      </c>
      <c r="E85" s="919">
        <f>E77-E70-E71</f>
        <v>-33.812618043218464</v>
      </c>
      <c r="F85" s="919">
        <f>F77-F70-F71</f>
        <v>-39.606651431288334</v>
      </c>
      <c r="G85" s="919">
        <f>G77-G70-G71</f>
        <v>-56.159730457642269</v>
      </c>
      <c r="H85" s="919">
        <f>H77-H70-H71</f>
        <v>-47.268162626139372</v>
      </c>
      <c r="I85" s="919">
        <f>SUM(D85:INDEX(D85:H85,0,MATCH('RFPR cover'!$C$9,$D$6:$H$6,0)))</f>
        <v>-50.320662383717334</v>
      </c>
      <c r="J85" s="916">
        <f>SUM(D85:H85)</f>
        <v>-227.16782494200578</v>
      </c>
      <c r="K85" s="31"/>
    </row>
    <row r="86" spans="2:11">
      <c r="B86" s="52"/>
      <c r="D86" s="888"/>
      <c r="E86" s="888"/>
      <c r="F86" s="888"/>
      <c r="G86" s="888"/>
      <c r="H86" s="888"/>
      <c r="I86" s="888"/>
      <c r="J86" s="888"/>
      <c r="K86" s="31"/>
    </row>
    <row r="87" spans="2:11">
      <c r="B87" s="52" t="s">
        <v>388</v>
      </c>
      <c r="C87" s="31" t="str">
        <f>Data!$C$9</f>
        <v>£m 18/19</v>
      </c>
      <c r="D87" s="919">
        <f>D83-D85</f>
        <v>8.3062867055885761</v>
      </c>
      <c r="E87" s="919">
        <f t="shared" ref="E87:H87" si="15">E83-E85</f>
        <v>6.0182100444864197</v>
      </c>
      <c r="F87" s="919">
        <f t="shared" si="15"/>
        <v>0.25943376582042532</v>
      </c>
      <c r="G87" s="919">
        <f t="shared" si="15"/>
        <v>0.45277706227651038</v>
      </c>
      <c r="H87" s="919">
        <f t="shared" si="15"/>
        <v>0.20052785366149806</v>
      </c>
      <c r="I87" s="916">
        <f>SUM(D87:INDEX(D87:H87,0,MATCH('RFPR cover'!$C$9,$D$6:$H$6,0)))</f>
        <v>8.3062867055885761</v>
      </c>
      <c r="J87" s="916">
        <f>SUM(D87:H87)</f>
        <v>15.23723543183343</v>
      </c>
      <c r="K87" s="31"/>
    </row>
    <row r="88" spans="2:11">
      <c r="K88" s="31"/>
    </row>
    <row r="89" spans="2:11">
      <c r="K89" s="31"/>
    </row>
    <row r="90" spans="2:11">
      <c r="K90" s="31"/>
    </row>
    <row r="91" spans="2:11">
      <c r="K91" s="31"/>
    </row>
  </sheetData>
  <sheetProtection algorithmName="SHA-512" hashValue="fepm6bM864N7diSIOTZr/Ah9ImXjhEAZ0bhwOdJbkmMIWlODHnrvUOCEmn4lBhYtDXg0Nxnrsi1M0eyyloV64Q==" saltValue="M02NeTK8uch9HEAK+3BHbQ==" spinCount="100000" sheet="1" objects="1" scenarios="1"/>
  <conditionalFormatting sqref="D48">
    <cfRule type="expression" dxfId="44" priority="4">
      <formula>C$12="N/A"</formula>
    </cfRule>
  </conditionalFormatting>
  <conditionalFormatting sqref="D48">
    <cfRule type="expression" dxfId="43" priority="3">
      <formula>D$5="Forecast"</formula>
    </cfRule>
  </conditionalFormatting>
  <conditionalFormatting sqref="D30">
    <cfRule type="expression" dxfId="42" priority="2">
      <formula>C$12="N/A"</formula>
    </cfRule>
  </conditionalFormatting>
  <conditionalFormatting sqref="D30">
    <cfRule type="expression" dxfId="41" priority="1">
      <formula>D$5="Forecast"</formula>
    </cfRule>
  </conditionalFormatting>
  <pageMargins left="0.70866141732283472" right="0.70866141732283472" top="0.74803149606299213" bottom="0.74803149606299213" header="0.31496062992125984" footer="0.31496062992125984"/>
  <pageSetup paperSize="8" scale="66" orientation="landscape" r:id="rId1"/>
  <headerFooter>
    <oddFooter>&amp;C_x000D_&amp;1#&amp;"Calibri"&amp;10&amp;K000000 OFFICIAL-InternalOnly</oddFooter>
  </headerFooter>
  <customProperties>
    <customPr name="EpmWorksheetKeyString_GUID" r:id="rId2"/>
  </customProperties>
  <ignoredErrors>
    <ignoredError sqref="D70:J71 D67:H68 D64:H64 D85:J87" evalError="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051f4ad-5434-433f-8640-303da76f8328">
      <UserInfo>
        <DisplayName>Chiara Oppo</DisplayName>
        <AccountId>1309</AccountId>
        <AccountType/>
      </UserInfo>
    </SharedWithUsers>
    <TaxCatchAll xmlns="cadce026-d35b-4a62-a2ee-1436bb44fb55" xsi:nil="true"/>
    <lcf76f155ced4ddcb4097134ff3c332f xmlns="0c6576fd-fc88-4a31-8876-f429f9e5b2f4">
      <Terms xmlns="http://schemas.microsoft.com/office/infopath/2007/PartnerControls"/>
    </lcf76f155ced4ddcb4097134ff3c332f>
  </documentManagement>
</p:properties>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3.xml>��< ? x m l   v e r s i o n = " 1 . 0 "   e n c o d i n g = " u t f - 1 6 " ? > < D a t a M a s h u p   x m l n s = " h t t p : / / s c h e m a s . m i c r o s o f t . c o m / D a t a M a s h u p " > A A A A A B U D A A B Q S w M E F A A C A A g A q X D 9 U l m P 2 i C l A A A A 9 Q A A A B I A H A B D b 2 5 m a W c v U G F j a 2 F n Z S 5 4 b W w g o h g A K K A U A A A A A A A A A A A A A A A A A A A A A A A A A A A A h Y 8 x D o I w G I W v Q r r T l h o T J D 8 l 0 c F F E h M T 4 9 q U C o 1 Q D C 2 W u z l 4 J K 8 g R l E 3 x / e 9 b 3 j v f r 1 B N j R 1 c F G d 1 a 1 J U Y Q p C p S R b a F N m a L e H c M Y Z R y 2 Q p 5 E q Y J R N j Y Z b J G i y r l z Q o j 3 H v s Z b r u S M E o j c s g 3 O 1 m p R q C P r P / L o T b W C S M V 4 r B / j e E M L y i e x w x T I B O D X J t v z 8 a 5 z / Y H w q q v X d 8 p r k y 4 X g K Z I p D 3 B f 4 A U E s D B B Q A A g A I A K l w / V 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p c P 1 S K I p H u A 4 A A A A R A A A A E w A c A E Z v c m 1 1 b G F z L 1 N l Y 3 R p b 2 4 x L m 0 g o h g A K K A U A A A A A A A A A A A A A A A A A A A A A A A A A A A A K 0 5 N L s n M z 1 M I h t C G 1 g B Q S w E C L Q A U A A I A C A C p c P 1 S W Y / a I K U A A A D 1 A A A A E g A A A A A A A A A A A A A A A A A A A A A A Q 2 9 u Z m l n L 1 B h Y 2 t h Z 2 U u e G 1 s U E s B A i 0 A F A A C A A g A q X D 9 U g / K 6 a u k A A A A 6 Q A A A B M A A A A A A A A A A A A A A A A A 8 Q A A A F t D b 2 5 0 Z W 5 0 X 1 R 5 c G V z X S 5 4 b W x Q S w E C L Q A U A A I A C A C p c P 1 S 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2 s d k p O h q U 2 n G 8 Y 2 y 4 b z 8 Q A A A A A C A A A A A A A D Z g A A w A A A A B A A A A D L Z 5 + y k r P 8 f k W T 1 P H j 6 6 V Y A A A A A A S A A A C g A A A A E A A A A B Q W u J n P N V c z z 7 9 X u j k b P A p Q A A A A Q b W E l 2 K Y b K t F u X u w j k y x b K J I n a 3 z / L O a c J m 1 o s z h Y y F n I r z e O A t i U o K B X E 7 P w M r H M a z 8 g J 5 n e X D X G C C I O X U a v 8 2 t L b R 7 3 P 8 p 7 K l t O j 0 G X Q 0 U A A A A g o L i B 4 v H T p 7 A p z N + 4 G 6 L L q w o x M g = < / 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C690A64DCD86954282FCC73FEA072D3D" ma:contentTypeVersion="16" ma:contentTypeDescription="Create a new document." ma:contentTypeScope="" ma:versionID="2396257db3ea54e63343023557bd6ee6">
  <xsd:schema xmlns:xsd="http://www.w3.org/2001/XMLSchema" xmlns:xs="http://www.w3.org/2001/XMLSchema" xmlns:p="http://schemas.microsoft.com/office/2006/metadata/properties" xmlns:ns2="0c6576fd-fc88-4a31-8876-f429f9e5b2f4" xmlns:ns3="a051f4ad-5434-433f-8640-303da76f8328" xmlns:ns4="cadce026-d35b-4a62-a2ee-1436bb44fb55" targetNamespace="http://schemas.microsoft.com/office/2006/metadata/properties" ma:root="true" ma:fieldsID="d70de16be6fc3187d35d8f4444af60ac" ns2:_="" ns3:_="" ns4:_="">
    <xsd:import namespace="0c6576fd-fc88-4a31-8876-f429f9e5b2f4"/>
    <xsd:import namespace="a051f4ad-5434-433f-8640-303da76f8328"/>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6576fd-fc88-4a31-8876-f429f9e5b2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051f4ad-5434-433f-8640-303da76f832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0cc42771-d2d0-4d16-ada0-77a0475a7636}" ma:internalName="TaxCatchAll" ma:showField="CatchAllData" ma:web="a051f4ad-5434-433f-8640-303da76f83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285FE4-1466-4BF7-8FA9-67F63A3D57B8}">
  <ds:schemaRefs>
    <ds:schemaRef ds:uri="http://schemas.openxmlformats.org/package/2006/metadata/core-properties"/>
    <ds:schemaRef ds:uri="http://purl.org/dc/dcmitype/"/>
    <ds:schemaRef ds:uri="http://purl.org/dc/elements/1.1/"/>
    <ds:schemaRef ds:uri="http://schemas.microsoft.com/office/2006/metadata/properties"/>
    <ds:schemaRef ds:uri="http://schemas.microsoft.com/office/2006/documentManagement/types"/>
    <ds:schemaRef ds:uri="570338e0-8240-437a-bb4c-f8b90b76e79e"/>
    <ds:schemaRef ds:uri="http://purl.org/dc/terms/"/>
    <ds:schemaRef ds:uri="http://schemas.microsoft.com/office/infopath/2007/PartnerControls"/>
    <ds:schemaRef ds:uri="d8367b0c-d0aa-4c51-a8de-c1b08702ac9d"/>
    <ds:schemaRef ds:uri="http://www.w3.org/XML/1998/namespace"/>
    <ds:schemaRef ds:uri="a051f4ad-5434-433f-8640-303da76f8328"/>
    <ds:schemaRef ds:uri="cadce026-d35b-4a62-a2ee-1436bb44fb55"/>
    <ds:schemaRef ds:uri="0c6576fd-fc88-4a31-8876-f429f9e5b2f4"/>
  </ds:schemaRefs>
</ds:datastoreItem>
</file>

<file path=customXml/itemProps2.xml><?xml version="1.0" encoding="utf-8"?>
<ds:datastoreItem xmlns:ds="http://schemas.openxmlformats.org/officeDocument/2006/customXml" ds:itemID="{0FF5722E-94C6-4A73-8B73-7386EEC8250B}">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ED8114B6-BDD8-4CB5-AA20-4A909702B5CF}">
  <ds:schemaRefs>
    <ds:schemaRef ds:uri="http://schemas.microsoft.com/DataMashup"/>
  </ds:schemaRefs>
</ds:datastoreItem>
</file>

<file path=customXml/itemProps4.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5.xml><?xml version="1.0" encoding="utf-8"?>
<ds:datastoreItem xmlns:ds="http://schemas.openxmlformats.org/officeDocument/2006/customXml" ds:itemID="{F77211F0-C537-4E29-B66F-2182EC1B0E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6576fd-fc88-4a31-8876-f429f9e5b2f4"/>
    <ds:schemaRef ds:uri="a051f4ad-5434-433f-8640-303da76f8328"/>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69</vt:i4>
      </vt:variant>
    </vt:vector>
  </HeadingPairs>
  <TitlesOfParts>
    <vt:vector size="86" baseType="lpstr">
      <vt:lpstr>RFPR cover</vt:lpstr>
      <vt:lpstr>Data</vt:lpstr>
      <vt:lpstr>Content &amp; Version Control</vt:lpstr>
      <vt:lpstr>Change log</vt:lpstr>
      <vt:lpstr>R1 - RoRE</vt:lpstr>
      <vt:lpstr>R2 - Rec to Revenue and Profit</vt:lpstr>
      <vt:lpstr>R3 - Totex - Reconciliation</vt:lpstr>
      <vt:lpstr>R4 - Incentives and Other Rev</vt:lpstr>
      <vt:lpstr>R5 - Financing</vt:lpstr>
      <vt:lpstr>R5a - Financing input</vt:lpstr>
      <vt:lpstr>R6 - Net Debt</vt:lpstr>
      <vt:lpstr>R6a - Net Debt input</vt:lpstr>
      <vt:lpstr>R7 - RAV</vt:lpstr>
      <vt:lpstr>R8 - Tax</vt:lpstr>
      <vt:lpstr>R8a - Tax Reconciliation</vt:lpstr>
      <vt:lpstr>R9 - Corporate Governance</vt:lpstr>
      <vt:lpstr>R10 - Pensions &amp; Oth Activities</vt:lpstr>
      <vt:lpstr>Adjusted_regulated_tax_liability</vt:lpstr>
      <vt:lpstr>Adjusted_regulated_tax_liability__Reporting_Year</vt:lpstr>
      <vt:lpstr>Business_Plan_Incentive</vt:lpstr>
      <vt:lpstr>calendar_year</vt:lpstr>
      <vt:lpstr>Combined_real_to_nominal_prices_conversion_factor__financial_year_end</vt:lpstr>
      <vt:lpstr>Corporate_Tax</vt:lpstr>
      <vt:lpstr>Cost_of_Equity</vt:lpstr>
      <vt:lpstr>Debt_performance___at_notional_gearing</vt:lpstr>
      <vt:lpstr>Debt_performance___impact_of_actual_gearing</vt:lpstr>
      <vt:lpstr>Equity_RAV_based_on_actual_gearing</vt:lpstr>
      <vt:lpstr>Equity_Return_on_the_RAV</vt:lpstr>
      <vt:lpstr>Licensee</vt:lpstr>
      <vt:lpstr>materiality_threshold</vt:lpstr>
      <vt:lpstr>N_A</vt:lpstr>
      <vt:lpstr>Navigate</vt:lpstr>
      <vt:lpstr>Notional_Gearing</vt:lpstr>
      <vt:lpstr>NPV_neutral_equity_element_of_RAV</vt:lpstr>
      <vt:lpstr>ODI_1</vt:lpstr>
      <vt:lpstr>ODI_2</vt:lpstr>
      <vt:lpstr>ODI_3</vt:lpstr>
      <vt:lpstr>ODI_4</vt:lpstr>
      <vt:lpstr>ODI_5</vt:lpstr>
      <vt:lpstr>ODI_6</vt:lpstr>
      <vt:lpstr>ORA_1</vt:lpstr>
      <vt:lpstr>ORA_2</vt:lpstr>
      <vt:lpstr>ORA_3</vt:lpstr>
      <vt:lpstr>ORA_4</vt:lpstr>
      <vt:lpstr>ORA_5</vt:lpstr>
      <vt:lpstr>ORA_6</vt:lpstr>
      <vt:lpstr>ORA_7</vt:lpstr>
      <vt:lpstr>ORA_8</vt:lpstr>
      <vt:lpstr>Penalties_and_fines</vt:lpstr>
      <vt:lpstr>Price_basis</vt:lpstr>
      <vt:lpstr>'Change log'!Print_Area</vt:lpstr>
      <vt:lpstr>'Content &amp; Version Control'!Print_Area</vt:lpstr>
      <vt:lpstr>'R1 - RoRE'!Print_Area</vt:lpstr>
      <vt:lpstr>'R10 - Pensions &amp; Oth Activities'!Print_Area</vt:lpstr>
      <vt:lpstr>'R2 - Rec to Revenue and Profit'!Print_Area</vt:lpstr>
      <vt:lpstr>'R3 - Totex - Reconciliation'!Print_Area</vt:lpstr>
      <vt:lpstr>'R4 - Incentives and Other Rev'!Print_Area</vt:lpstr>
      <vt:lpstr>'R5 - Financing'!Print_Area</vt:lpstr>
      <vt:lpstr>'R5a - Financing input'!Print_Area</vt:lpstr>
      <vt:lpstr>'R6 - Net Debt'!Print_Area</vt:lpstr>
      <vt:lpstr>'R6a - Net Debt input'!Print_Area</vt:lpstr>
      <vt:lpstr>'R7 - RAV'!Print_Area</vt:lpstr>
      <vt:lpstr>'R8 - Tax'!Print_Area</vt:lpstr>
      <vt:lpstr>'R8a - Tax Reconciliation'!Print_Area</vt:lpstr>
      <vt:lpstr>'R9 - Corporate Governance'!Print_Area</vt:lpstr>
      <vt:lpstr>'RFPR cover'!Print_Area</vt:lpstr>
      <vt:lpstr>'R5a - Financing input'!Print_Titles</vt:lpstr>
      <vt:lpstr>'R6a - Net Debt input'!Print_Titles</vt:lpstr>
      <vt:lpstr>'R8a - Tax Reconciliation'!Print_Titles</vt:lpstr>
      <vt:lpstr>real_to_nominal_CF</vt:lpstr>
      <vt:lpstr>Reporting_Year</vt:lpstr>
      <vt:lpstr>reporting_yearCov</vt:lpstr>
      <vt:lpstr>RIIO_2_start_date</vt:lpstr>
      <vt:lpstr>RoRE___including_financing_and_tax</vt:lpstr>
      <vt:lpstr>RoRE___Operational_performance</vt:lpstr>
      <vt:lpstr>Sector</vt:lpstr>
      <vt:lpstr>SectorCov</vt:lpstr>
      <vt:lpstr>Sharing_Factor</vt:lpstr>
      <vt:lpstr>Submitted_Date</vt:lpstr>
      <vt:lpstr>Tax_liability_per_latest_submitted_CT600____Reporting_Year</vt:lpstr>
      <vt:lpstr>Tax_performance___at_notional_gearing</vt:lpstr>
      <vt:lpstr>Tax_performance___impact_of_actual_gearing</vt:lpstr>
      <vt:lpstr>Totex_outperformance</vt:lpstr>
      <vt:lpstr>Version__Number</vt:lpstr>
      <vt:lpstr>YEFactor</vt:lpstr>
      <vt:lpstr>YEFactor_change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Cook, Alexandra</cp:lastModifiedBy>
  <dcterms:modified xsi:type="dcterms:W3CDTF">2022-10-17T14:17:18Z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0x010100C690A64DCD86954282FCC73FEA072D3D</vt:lpwstr>
  </property>
  <property fmtid="{D5CDD505-2E9C-101B-9397-08002B2CF9AE}" pid="3" name="MediaServiceImageTags">
    <vt:lpwstr/>
  </property>
</Properties>
</file>